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l\OneDrive\Documents\"/>
    </mc:Choice>
  </mc:AlternateContent>
  <xr:revisionPtr revIDLastSave="0" documentId="13_ncr:1_{AAF936DE-94E1-417C-8041-1A56DAB9841C}" xr6:coauthVersionLast="47" xr6:coauthVersionMax="47" xr10:uidLastSave="{00000000-0000-0000-0000-000000000000}"/>
  <bookViews>
    <workbookView xWindow="-110" yWindow="-110" windowWidth="25820" windowHeight="15500" xr2:uid="{DEFA70E3-BD0C-4CCD-8D51-64E351641390}"/>
  </bookViews>
  <sheets>
    <sheet name="Income Statemen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6" i="1" l="1"/>
  <c r="S117" i="1" s="1"/>
  <c r="R116" i="1"/>
  <c r="R117" i="1" s="1"/>
  <c r="Q116" i="1"/>
  <c r="Q117" i="1" s="1"/>
  <c r="P116" i="1"/>
  <c r="P117" i="1" s="1"/>
  <c r="O116" i="1"/>
  <c r="O117" i="1" s="1"/>
  <c r="N116" i="1"/>
  <c r="N117" i="1" s="1"/>
  <c r="M116" i="1"/>
  <c r="M117" i="1" s="1"/>
  <c r="L116" i="1"/>
  <c r="L117" i="1" s="1"/>
  <c r="K116" i="1"/>
  <c r="K117" i="1" s="1"/>
  <c r="J116" i="1"/>
  <c r="J117" i="1" s="1"/>
  <c r="I116" i="1"/>
  <c r="I117" i="1" s="1"/>
  <c r="H116" i="1"/>
  <c r="U116" i="1" s="1"/>
  <c r="U117" i="1" s="1"/>
  <c r="U115" i="1"/>
  <c r="N113" i="1"/>
  <c r="U112" i="1"/>
  <c r="S111" i="1"/>
  <c r="M111" i="1"/>
  <c r="I111" i="1"/>
  <c r="I113" i="1" s="1"/>
  <c r="H111" i="1"/>
  <c r="U110" i="1"/>
  <c r="M109" i="1"/>
  <c r="U109" i="1" s="1"/>
  <c r="S108" i="1"/>
  <c r="S113" i="1" s="1"/>
  <c r="R108" i="1"/>
  <c r="R113" i="1" s="1"/>
  <c r="Q108" i="1"/>
  <c r="Q113" i="1" s="1"/>
  <c r="P108" i="1"/>
  <c r="P113" i="1" s="1"/>
  <c r="O108" i="1"/>
  <c r="O113" i="1" s="1"/>
  <c r="N108" i="1"/>
  <c r="M108" i="1"/>
  <c r="L108" i="1"/>
  <c r="L113" i="1" s="1"/>
  <c r="K108" i="1"/>
  <c r="K113" i="1" s="1"/>
  <c r="J108" i="1"/>
  <c r="J113" i="1" s="1"/>
  <c r="H108" i="1"/>
  <c r="H113" i="1" s="1"/>
  <c r="M106" i="1"/>
  <c r="S105" i="1"/>
  <c r="U105" i="1" s="1"/>
  <c r="U104" i="1"/>
  <c r="U103" i="1"/>
  <c r="S102" i="1"/>
  <c r="R102" i="1"/>
  <c r="R106" i="1" s="1"/>
  <c r="Q102" i="1"/>
  <c r="Q106" i="1" s="1"/>
  <c r="P102" i="1"/>
  <c r="P106" i="1" s="1"/>
  <c r="O102" i="1"/>
  <c r="O106" i="1" s="1"/>
  <c r="N102" i="1"/>
  <c r="N106" i="1" s="1"/>
  <c r="M102" i="1"/>
  <c r="L102" i="1"/>
  <c r="L106" i="1" s="1"/>
  <c r="K102" i="1"/>
  <c r="K106" i="1" s="1"/>
  <c r="J102" i="1"/>
  <c r="J106" i="1" s="1"/>
  <c r="I102" i="1"/>
  <c r="I106" i="1" s="1"/>
  <c r="H102" i="1"/>
  <c r="H106" i="1" s="1"/>
  <c r="U101" i="1"/>
  <c r="U100" i="1"/>
  <c r="U99" i="1"/>
  <c r="U98" i="1"/>
  <c r="U97" i="1"/>
  <c r="S94" i="1"/>
  <c r="R94" i="1"/>
  <c r="Q94" i="1"/>
  <c r="P94" i="1"/>
  <c r="O94" i="1"/>
  <c r="N94" i="1"/>
  <c r="M94" i="1"/>
  <c r="L94" i="1"/>
  <c r="K94" i="1"/>
  <c r="J94" i="1"/>
  <c r="I94" i="1"/>
  <c r="H94" i="1"/>
  <c r="U93" i="1"/>
  <c r="U94" i="1" s="1"/>
  <c r="U92" i="1"/>
  <c r="S90" i="1"/>
  <c r="R90" i="1"/>
  <c r="P90" i="1"/>
  <c r="M90" i="1"/>
  <c r="L90" i="1"/>
  <c r="K90" i="1"/>
  <c r="J90" i="1"/>
  <c r="I90" i="1"/>
  <c r="H90" i="1"/>
  <c r="U89" i="1"/>
  <c r="Q88" i="1"/>
  <c r="Q90" i="1" s="1"/>
  <c r="O88" i="1"/>
  <c r="O90" i="1" s="1"/>
  <c r="N88" i="1"/>
  <c r="N90" i="1" s="1"/>
  <c r="U87" i="1"/>
  <c r="U86" i="1"/>
  <c r="S84" i="1"/>
  <c r="R84" i="1"/>
  <c r="Q84" i="1"/>
  <c r="P84" i="1"/>
  <c r="O84" i="1"/>
  <c r="N84" i="1"/>
  <c r="M84" i="1"/>
  <c r="L84" i="1"/>
  <c r="K84" i="1"/>
  <c r="J84" i="1"/>
  <c r="I84" i="1"/>
  <c r="H84" i="1"/>
  <c r="U83" i="1"/>
  <c r="U84" i="1" s="1"/>
  <c r="Q81" i="1"/>
  <c r="P81" i="1"/>
  <c r="O81" i="1"/>
  <c r="N81" i="1"/>
  <c r="M81" i="1"/>
  <c r="K81" i="1"/>
  <c r="U80" i="1"/>
  <c r="J79" i="1"/>
  <c r="J81" i="1" s="1"/>
  <c r="I79" i="1"/>
  <c r="I81" i="1" s="1"/>
  <c r="U78" i="1"/>
  <c r="S77" i="1"/>
  <c r="S81" i="1" s="1"/>
  <c r="R77" i="1"/>
  <c r="L77" i="1"/>
  <c r="L81" i="1" s="1"/>
  <c r="H77" i="1"/>
  <c r="H81" i="1" s="1"/>
  <c r="S75" i="1"/>
  <c r="R75" i="1"/>
  <c r="Q75" i="1"/>
  <c r="P75" i="1"/>
  <c r="O75" i="1"/>
  <c r="N75" i="1"/>
  <c r="M75" i="1"/>
  <c r="L75" i="1"/>
  <c r="K75" i="1"/>
  <c r="J75" i="1"/>
  <c r="I75" i="1"/>
  <c r="H75" i="1"/>
  <c r="U74" i="1"/>
  <c r="U73" i="1"/>
  <c r="U75" i="1" s="1"/>
  <c r="S71" i="1"/>
  <c r="R71" i="1"/>
  <c r="P71" i="1"/>
  <c r="K71" i="1"/>
  <c r="J71" i="1"/>
  <c r="H71" i="1"/>
  <c r="Q70" i="1"/>
  <c r="Q71" i="1" s="1"/>
  <c r="P70" i="1"/>
  <c r="O70" i="1"/>
  <c r="O71" i="1" s="1"/>
  <c r="N70" i="1"/>
  <c r="N71" i="1" s="1"/>
  <c r="M70" i="1"/>
  <c r="M71" i="1" s="1"/>
  <c r="L70" i="1"/>
  <c r="L71" i="1" s="1"/>
  <c r="I70" i="1"/>
  <c r="I71" i="1" s="1"/>
  <c r="H70" i="1"/>
  <c r="U69" i="1"/>
  <c r="H69" i="1"/>
  <c r="R67" i="1"/>
  <c r="N67" i="1"/>
  <c r="U66" i="1"/>
  <c r="U65" i="1"/>
  <c r="S64" i="1"/>
  <c r="S67" i="1" s="1"/>
  <c r="Q64" i="1"/>
  <c r="Q67" i="1" s="1"/>
  <c r="P64" i="1"/>
  <c r="P67" i="1" s="1"/>
  <c r="O64" i="1"/>
  <c r="O67" i="1" s="1"/>
  <c r="N64" i="1"/>
  <c r="M64" i="1"/>
  <c r="M67" i="1" s="1"/>
  <c r="L64" i="1"/>
  <c r="L67" i="1" s="1"/>
  <c r="K64" i="1"/>
  <c r="K67" i="1" s="1"/>
  <c r="J64" i="1"/>
  <c r="J67" i="1" s="1"/>
  <c r="I64" i="1"/>
  <c r="I67" i="1" s="1"/>
  <c r="H64" i="1"/>
  <c r="H67" i="1" s="1"/>
  <c r="S62" i="1"/>
  <c r="R62" i="1"/>
  <c r="Q62" i="1"/>
  <c r="P62" i="1"/>
  <c r="O62" i="1"/>
  <c r="N62" i="1"/>
  <c r="M62" i="1"/>
  <c r="L62" i="1"/>
  <c r="K62" i="1"/>
  <c r="H62" i="1"/>
  <c r="U61" i="1"/>
  <c r="U60" i="1"/>
  <c r="J59" i="1"/>
  <c r="J62" i="1" s="1"/>
  <c r="I59" i="1"/>
  <c r="I62" i="1" s="1"/>
  <c r="N57" i="1"/>
  <c r="Q55" i="1"/>
  <c r="M55" i="1"/>
  <c r="J55" i="1"/>
  <c r="H55" i="1"/>
  <c r="U55" i="1" s="1"/>
  <c r="S54" i="1"/>
  <c r="Q54" i="1"/>
  <c r="P54" i="1"/>
  <c r="O54" i="1"/>
  <c r="N54" i="1"/>
  <c r="M54" i="1"/>
  <c r="L54" i="1"/>
  <c r="K54" i="1"/>
  <c r="J54" i="1"/>
  <c r="I54" i="1"/>
  <c r="H54" i="1"/>
  <c r="S53" i="1"/>
  <c r="S57" i="1" s="1"/>
  <c r="R53" i="1"/>
  <c r="R57" i="1" s="1"/>
  <c r="Q53" i="1"/>
  <c r="P53" i="1"/>
  <c r="P57" i="1" s="1"/>
  <c r="O53" i="1"/>
  <c r="O57" i="1" s="1"/>
  <c r="O95" i="1" s="1"/>
  <c r="N53" i="1"/>
  <c r="M53" i="1"/>
  <c r="L53" i="1"/>
  <c r="L57" i="1" s="1"/>
  <c r="K53" i="1"/>
  <c r="K57" i="1" s="1"/>
  <c r="J53" i="1"/>
  <c r="I53" i="1"/>
  <c r="H53" i="1"/>
  <c r="U52" i="1"/>
  <c r="R51" i="1"/>
  <c r="Q51" i="1"/>
  <c r="Q57" i="1" s="1"/>
  <c r="H51" i="1"/>
  <c r="U50" i="1"/>
  <c r="M49" i="1"/>
  <c r="M57" i="1" s="1"/>
  <c r="J49" i="1"/>
  <c r="I49" i="1"/>
  <c r="I57" i="1" s="1"/>
  <c r="H49" i="1"/>
  <c r="S44" i="1"/>
  <c r="S45" i="1" s="1"/>
  <c r="R44" i="1"/>
  <c r="R45" i="1" s="1"/>
  <c r="Q44" i="1"/>
  <c r="Q45" i="1" s="1"/>
  <c r="P44" i="1"/>
  <c r="P45" i="1" s="1"/>
  <c r="O44" i="1"/>
  <c r="O45" i="1" s="1"/>
  <c r="N44" i="1"/>
  <c r="N45" i="1" s="1"/>
  <c r="M44" i="1"/>
  <c r="M45" i="1" s="1"/>
  <c r="L44" i="1"/>
  <c r="L45" i="1" s="1"/>
  <c r="K44" i="1"/>
  <c r="K45" i="1" s="1"/>
  <c r="J44" i="1"/>
  <c r="I44" i="1"/>
  <c r="I45" i="1" s="1"/>
  <c r="H44" i="1"/>
  <c r="H45" i="1" s="1"/>
  <c r="U43" i="1"/>
  <c r="U42" i="1"/>
  <c r="S38" i="1"/>
  <c r="S39" i="1" s="1"/>
  <c r="R38" i="1"/>
  <c r="Q38" i="1"/>
  <c r="P38" i="1"/>
  <c r="O38" i="1"/>
  <c r="N38" i="1"/>
  <c r="M38" i="1"/>
  <c r="L38" i="1"/>
  <c r="K38" i="1"/>
  <c r="K39" i="1" s="1"/>
  <c r="J38" i="1"/>
  <c r="I38" i="1"/>
  <c r="H38" i="1"/>
  <c r="S37" i="1"/>
  <c r="R37" i="1"/>
  <c r="R39" i="1" s="1"/>
  <c r="Q37" i="1"/>
  <c r="Q39" i="1" s="1"/>
  <c r="P37" i="1"/>
  <c r="O37" i="1"/>
  <c r="O39" i="1" s="1"/>
  <c r="N37" i="1"/>
  <c r="N39" i="1" s="1"/>
  <c r="M37" i="1"/>
  <c r="M39" i="1" s="1"/>
  <c r="L37" i="1"/>
  <c r="L39" i="1" s="1"/>
  <c r="K37" i="1"/>
  <c r="J37" i="1"/>
  <c r="J39" i="1" s="1"/>
  <c r="I37" i="1"/>
  <c r="I39" i="1" s="1"/>
  <c r="H37" i="1"/>
  <c r="S34" i="1"/>
  <c r="R34" i="1"/>
  <c r="Q34" i="1"/>
  <c r="Q35" i="1" s="1"/>
  <c r="P34" i="1"/>
  <c r="O34" i="1"/>
  <c r="N34" i="1"/>
  <c r="M34" i="1"/>
  <c r="L34" i="1"/>
  <c r="K34" i="1"/>
  <c r="J34" i="1"/>
  <c r="I34" i="1"/>
  <c r="I35" i="1" s="1"/>
  <c r="H34" i="1"/>
  <c r="S33" i="1"/>
  <c r="R33" i="1"/>
  <c r="R35" i="1" s="1"/>
  <c r="Q33" i="1"/>
  <c r="P33" i="1"/>
  <c r="O33" i="1"/>
  <c r="N33" i="1"/>
  <c r="M33" i="1"/>
  <c r="M35" i="1" s="1"/>
  <c r="M40" i="1" s="1"/>
  <c r="M46" i="1" s="1"/>
  <c r="L33" i="1"/>
  <c r="K33" i="1"/>
  <c r="J33" i="1"/>
  <c r="J35" i="1" s="1"/>
  <c r="I33" i="1"/>
  <c r="H33" i="1"/>
  <c r="Q27" i="1"/>
  <c r="L27" i="1"/>
  <c r="U26" i="1"/>
  <c r="S25" i="1"/>
  <c r="S27" i="1" s="1"/>
  <c r="R25" i="1"/>
  <c r="R27" i="1" s="1"/>
  <c r="Q25" i="1"/>
  <c r="P25" i="1"/>
  <c r="P27" i="1" s="1"/>
  <c r="O25" i="1"/>
  <c r="O27" i="1" s="1"/>
  <c r="N25" i="1"/>
  <c r="N27" i="1" s="1"/>
  <c r="M25" i="1"/>
  <c r="M27" i="1" s="1"/>
  <c r="L25" i="1"/>
  <c r="K25" i="1"/>
  <c r="K27" i="1" s="1"/>
  <c r="J25" i="1"/>
  <c r="J27" i="1" s="1"/>
  <c r="I25" i="1"/>
  <c r="I27" i="1" s="1"/>
  <c r="H25" i="1"/>
  <c r="H27" i="1" s="1"/>
  <c r="U24" i="1"/>
  <c r="U23" i="1"/>
  <c r="U22" i="1"/>
  <c r="S19" i="1"/>
  <c r="R19" i="1"/>
  <c r="Q19" i="1"/>
  <c r="P19" i="1"/>
  <c r="O19" i="1"/>
  <c r="N19" i="1"/>
  <c r="N20" i="1" s="1"/>
  <c r="M19" i="1"/>
  <c r="L19" i="1"/>
  <c r="K19" i="1"/>
  <c r="J19" i="1"/>
  <c r="I19" i="1"/>
  <c r="H19" i="1"/>
  <c r="H20" i="1" s="1"/>
  <c r="U18" i="1"/>
  <c r="S17" i="1"/>
  <c r="S20" i="1" s="1"/>
  <c r="R17" i="1"/>
  <c r="Q17" i="1"/>
  <c r="Q20" i="1" s="1"/>
  <c r="P17" i="1"/>
  <c r="O17" i="1"/>
  <c r="O20" i="1" s="1"/>
  <c r="N17" i="1"/>
  <c r="M17" i="1"/>
  <c r="L17" i="1"/>
  <c r="K17" i="1"/>
  <c r="K20" i="1" s="1"/>
  <c r="J17" i="1"/>
  <c r="I17" i="1"/>
  <c r="I20" i="1" s="1"/>
  <c r="U16" i="1"/>
  <c r="U15" i="1"/>
  <c r="S12" i="1"/>
  <c r="R12" i="1"/>
  <c r="R13" i="1" s="1"/>
  <c r="Q12" i="1"/>
  <c r="Q13" i="1" s="1"/>
  <c r="P12" i="1"/>
  <c r="O12" i="1"/>
  <c r="N12" i="1"/>
  <c r="M12" i="1"/>
  <c r="L12" i="1"/>
  <c r="K12" i="1"/>
  <c r="J12" i="1"/>
  <c r="J13" i="1" s="1"/>
  <c r="S11" i="1"/>
  <c r="R11" i="1"/>
  <c r="Q11" i="1"/>
  <c r="P11" i="1"/>
  <c r="P13" i="1" s="1"/>
  <c r="O11" i="1"/>
  <c r="N11" i="1"/>
  <c r="M11" i="1"/>
  <c r="L11" i="1"/>
  <c r="K11" i="1"/>
  <c r="K13" i="1" s="1"/>
  <c r="K28" i="1" s="1"/>
  <c r="K29" i="1" s="1"/>
  <c r="J11" i="1"/>
  <c r="I11" i="1"/>
  <c r="H11" i="1"/>
  <c r="S10" i="1"/>
  <c r="R10" i="1"/>
  <c r="Q10" i="1"/>
  <c r="O10" i="1"/>
  <c r="M10" i="1"/>
  <c r="M13" i="1" s="1"/>
  <c r="L10" i="1"/>
  <c r="I10" i="1"/>
  <c r="I13" i="1" s="1"/>
  <c r="H10" i="1"/>
  <c r="U9" i="1"/>
  <c r="U8" i="1"/>
  <c r="U7" i="1"/>
  <c r="L6" i="1"/>
  <c r="U6" i="1" s="1"/>
  <c r="U54" i="1" l="1"/>
  <c r="M113" i="1"/>
  <c r="U10" i="1"/>
  <c r="P95" i="1"/>
  <c r="U25" i="1"/>
  <c r="U27" i="1" s="1"/>
  <c r="K35" i="1"/>
  <c r="K40" i="1" s="1"/>
  <c r="K46" i="1" s="1"/>
  <c r="S35" i="1"/>
  <c r="S40" i="1" s="1"/>
  <c r="S46" i="1" s="1"/>
  <c r="O35" i="1"/>
  <c r="O40" i="1" s="1"/>
  <c r="O46" i="1" s="1"/>
  <c r="O118" i="1" s="1"/>
  <c r="O119" i="1" s="1"/>
  <c r="O120" i="1" s="1"/>
  <c r="U59" i="1"/>
  <c r="U62" i="1" s="1"/>
  <c r="S13" i="1"/>
  <c r="N35" i="1"/>
  <c r="N40" i="1" s="1"/>
  <c r="N46" i="1" s="1"/>
  <c r="N118" i="1" s="1"/>
  <c r="N119" i="1" s="1"/>
  <c r="N120" i="1" s="1"/>
  <c r="U53" i="1"/>
  <c r="L13" i="1"/>
  <c r="J20" i="1"/>
  <c r="R20" i="1"/>
  <c r="R28" i="1" s="1"/>
  <c r="R29" i="1" s="1"/>
  <c r="M20" i="1"/>
  <c r="M28" i="1" s="1"/>
  <c r="M29" i="1" s="1"/>
  <c r="U33" i="1"/>
  <c r="U34" i="1"/>
  <c r="U38" i="1"/>
  <c r="U49" i="1"/>
  <c r="J57" i="1"/>
  <c r="J95" i="1" s="1"/>
  <c r="U88" i="1"/>
  <c r="U111" i="1"/>
  <c r="Q40" i="1"/>
  <c r="Q46" i="1" s="1"/>
  <c r="K95" i="1"/>
  <c r="U17" i="1"/>
  <c r="U77" i="1"/>
  <c r="P20" i="1"/>
  <c r="I40" i="1"/>
  <c r="I46" i="1" s="1"/>
  <c r="S95" i="1"/>
  <c r="U90" i="1"/>
  <c r="O13" i="1"/>
  <c r="O28" i="1" s="1"/>
  <c r="O29" i="1" s="1"/>
  <c r="U11" i="1"/>
  <c r="U44" i="1"/>
  <c r="U45" i="1" s="1"/>
  <c r="H57" i="1"/>
  <c r="H95" i="1" s="1"/>
  <c r="N95" i="1"/>
  <c r="U70" i="1"/>
  <c r="U71" i="1" s="1"/>
  <c r="N13" i="1"/>
  <c r="N28" i="1" s="1"/>
  <c r="N29" i="1" s="1"/>
  <c r="H35" i="1"/>
  <c r="P35" i="1"/>
  <c r="U37" i="1"/>
  <c r="P39" i="1"/>
  <c r="Q28" i="1"/>
  <c r="Q29" i="1" s="1"/>
  <c r="J28" i="1"/>
  <c r="J29" i="1" s="1"/>
  <c r="L95" i="1"/>
  <c r="S28" i="1"/>
  <c r="S29" i="1" s="1"/>
  <c r="I95" i="1"/>
  <c r="I118" i="1" s="1"/>
  <c r="I28" i="1"/>
  <c r="I29" i="1" s="1"/>
  <c r="J40" i="1"/>
  <c r="R40" i="1"/>
  <c r="R46" i="1" s="1"/>
  <c r="P28" i="1"/>
  <c r="P29" i="1" s="1"/>
  <c r="K118" i="1"/>
  <c r="K119" i="1" s="1"/>
  <c r="K120" i="1" s="1"/>
  <c r="M95" i="1"/>
  <c r="M118" i="1" s="1"/>
  <c r="Q95" i="1"/>
  <c r="U35" i="1"/>
  <c r="U57" i="1"/>
  <c r="U12" i="1"/>
  <c r="L35" i="1"/>
  <c r="L40" i="1" s="1"/>
  <c r="L46" i="1" s="1"/>
  <c r="R81" i="1"/>
  <c r="R95" i="1" s="1"/>
  <c r="U102" i="1"/>
  <c r="U106" i="1" s="1"/>
  <c r="U108" i="1"/>
  <c r="H13" i="1"/>
  <c r="H28" i="1" s="1"/>
  <c r="H29" i="1" s="1"/>
  <c r="U19" i="1"/>
  <c r="U20" i="1" s="1"/>
  <c r="L20" i="1"/>
  <c r="L28" i="1" s="1"/>
  <c r="L29" i="1" s="1"/>
  <c r="U51" i="1"/>
  <c r="U64" i="1"/>
  <c r="U67" i="1" s="1"/>
  <c r="U79" i="1"/>
  <c r="U81" i="1" s="1"/>
  <c r="H39" i="1"/>
  <c r="J45" i="1"/>
  <c r="S106" i="1"/>
  <c r="H117" i="1"/>
  <c r="S118" i="1" l="1"/>
  <c r="U113" i="1"/>
  <c r="H40" i="1"/>
  <c r="H46" i="1" s="1"/>
  <c r="H118" i="1" s="1"/>
  <c r="Q118" i="1"/>
  <c r="Q119" i="1" s="1"/>
  <c r="Q120" i="1" s="1"/>
  <c r="L118" i="1"/>
  <c r="L119" i="1" s="1"/>
  <c r="L120" i="1" s="1"/>
  <c r="U39" i="1"/>
  <c r="U40" i="1" s="1"/>
  <c r="U46" i="1" s="1"/>
  <c r="U118" i="1" s="1"/>
  <c r="U13" i="1"/>
  <c r="P40" i="1"/>
  <c r="P46" i="1" s="1"/>
  <c r="P118" i="1" s="1"/>
  <c r="P119" i="1" s="1"/>
  <c r="P120" i="1" s="1"/>
  <c r="U28" i="1"/>
  <c r="U29" i="1" s="1"/>
  <c r="I119" i="1"/>
  <c r="I120" i="1" s="1"/>
  <c r="H119" i="1"/>
  <c r="H120" i="1" s="1"/>
  <c r="U95" i="1"/>
  <c r="R119" i="1"/>
  <c r="R120" i="1" s="1"/>
  <c r="M119" i="1"/>
  <c r="M120" i="1" s="1"/>
  <c r="R118" i="1"/>
  <c r="S119" i="1"/>
  <c r="S120" i="1" s="1"/>
  <c r="J46" i="1"/>
  <c r="J118" i="1" s="1"/>
  <c r="J119" i="1" s="1"/>
  <c r="J120" i="1" s="1"/>
  <c r="U119" i="1" l="1"/>
  <c r="U120" i="1" s="1"/>
</calcChain>
</file>

<file path=xl/sharedStrings.xml><?xml version="1.0" encoding="utf-8"?>
<sst xmlns="http://schemas.openxmlformats.org/spreadsheetml/2006/main" count="133" uniqueCount="133">
  <si>
    <t>BUDGET</t>
  </si>
  <si>
    <t>Aug 22</t>
  </si>
  <si>
    <t>Sep 22</t>
  </si>
  <si>
    <t>Oct 22</t>
  </si>
  <si>
    <t>Nov 22</t>
  </si>
  <si>
    <t>Dec 22</t>
  </si>
  <si>
    <t>Jan 23</t>
  </si>
  <si>
    <t>Feb 23</t>
  </si>
  <si>
    <t>Mar 23</t>
  </si>
  <si>
    <t>Apr 23</t>
  </si>
  <si>
    <t>May 23</t>
  </si>
  <si>
    <t>Jun 23</t>
  </si>
  <si>
    <t>Jul 23</t>
  </si>
  <si>
    <t>2022-2023</t>
  </si>
  <si>
    <t>Ordinary Income/Expense</t>
  </si>
  <si>
    <t>Income</t>
  </si>
  <si>
    <t>4 · Contributed support</t>
  </si>
  <si>
    <t>4010 · Individuals</t>
  </si>
  <si>
    <t>4015 · Individuals-Recurring Donors</t>
  </si>
  <si>
    <t>4020 · Businesses</t>
  </si>
  <si>
    <t>4070 · Churches</t>
  </si>
  <si>
    <t>4130 · Gifts in Kind-Goods</t>
  </si>
  <si>
    <t>4230 · Foundation Grants</t>
  </si>
  <si>
    <t>4235 · Government Grants</t>
  </si>
  <si>
    <t>Total 4 · Contributed support</t>
  </si>
  <si>
    <t>5 · Earned revenues</t>
  </si>
  <si>
    <t>Group Fees</t>
  </si>
  <si>
    <t>5310 · Interest-savings/short-term inv</t>
  </si>
  <si>
    <t>5313 · CCMS Tuition Reimbursements</t>
  </si>
  <si>
    <t>5315 · CACFP Reimbursements</t>
  </si>
  <si>
    <t>5487 · Rental Income</t>
  </si>
  <si>
    <t>Total 5 · Earned revenues</t>
  </si>
  <si>
    <t>5800 · Special events</t>
  </si>
  <si>
    <t>5810 · Fundraising Events - Other</t>
  </si>
  <si>
    <t>5815 · Tshirt Sales</t>
  </si>
  <si>
    <t>5819 · Storyland Auction</t>
  </si>
  <si>
    <t>Total 5810 · Special events - non-gift rev</t>
  </si>
  <si>
    <t>5800 · Special events - Other</t>
  </si>
  <si>
    <t>Total 5800 · Special events</t>
  </si>
  <si>
    <t>Total Income</t>
  </si>
  <si>
    <t>Gross Profit</t>
  </si>
  <si>
    <t>Expense</t>
  </si>
  <si>
    <t>7200 · Salaries &amp; related expenses</t>
  </si>
  <si>
    <t>7220 · Salaries &amp; wages</t>
  </si>
  <si>
    <t>7229 · Babysitters &amp; Interns</t>
  </si>
  <si>
    <t>7220 · Salaries &amp; wages - Other</t>
  </si>
  <si>
    <t>Total 7220 · Salaries &amp; wages</t>
  </si>
  <si>
    <t>7250 · Payroll taxes</t>
  </si>
  <si>
    <t>7251 · Employers Social Security</t>
  </si>
  <si>
    <t>7252 · Employers Medicare</t>
  </si>
  <si>
    <t>Total 7250 · Payroll taxes</t>
  </si>
  <si>
    <t>Total 7200 · Salaries &amp; related expenses</t>
  </si>
  <si>
    <t>7500 · Other personnel expenses</t>
  </si>
  <si>
    <t>7510 · Workers Compensations</t>
  </si>
  <si>
    <t>7520 · Texas Unemployment</t>
  </si>
  <si>
    <t>7530 · Payroll Processing Fees</t>
  </si>
  <si>
    <t>Total 7500 · Other personnel expenses</t>
  </si>
  <si>
    <t>Total Employee Costs</t>
  </si>
  <si>
    <t>8000 · Non-personnel expenses</t>
  </si>
  <si>
    <t>8010 · Supplies</t>
  </si>
  <si>
    <t>8011 · Office Supplies</t>
  </si>
  <si>
    <t>8014 · Printing &amp; Postage</t>
  </si>
  <si>
    <t>8016A · T Shirts</t>
  </si>
  <si>
    <t>8017 · Equipment</t>
  </si>
  <si>
    <t>8018 · Student Programs</t>
  </si>
  <si>
    <t>8018.1 · Parent Program</t>
  </si>
  <si>
    <t>8018.2 · Community Program</t>
  </si>
  <si>
    <t>8018.3 · Volunteer Program</t>
  </si>
  <si>
    <t>Total 8010 · Supplies</t>
  </si>
  <si>
    <t>8020 · Transportation</t>
  </si>
  <si>
    <t>8021 · Gas &amp; Oil</t>
  </si>
  <si>
    <t>8024 · Inspection &amp; Registrations</t>
  </si>
  <si>
    <t>8025 · Insurance</t>
  </si>
  <si>
    <t>Total 8020 · Transportation</t>
  </si>
  <si>
    <t>8030 · Training</t>
  </si>
  <si>
    <t>8032 · Training &amp; Staff Development</t>
  </si>
  <si>
    <t>8031 · Volunteer Training &amp; Development</t>
  </si>
  <si>
    <t>8030 · Training - Other</t>
  </si>
  <si>
    <t>Total 8030 · Training</t>
  </si>
  <si>
    <t>8040 · Professional Services</t>
  </si>
  <si>
    <t>8044 · Outside Services</t>
  </si>
  <si>
    <t>8040 · Professional Services: Other</t>
  </si>
  <si>
    <t>Total 8040 · Professional Services</t>
  </si>
  <si>
    <t>8050 · Insurance</t>
  </si>
  <si>
    <t>8051 · Directors &amp; Officers Insurance</t>
  </si>
  <si>
    <t>8053 · Liability Ins, non-occupancy</t>
  </si>
  <si>
    <t>Total 8050 · Insurance</t>
  </si>
  <si>
    <t>8060 · Advertising and Promotion</t>
  </si>
  <si>
    <t>8065 · Recruiting</t>
  </si>
  <si>
    <t>8535 · Volunteer Appreciation</t>
  </si>
  <si>
    <t>8060 · Advertising</t>
  </si>
  <si>
    <t>8063 · Travel</t>
  </si>
  <si>
    <t>Total 8060 · Advertising and Promotion</t>
  </si>
  <si>
    <t>8070 · Special Events Expenses</t>
  </si>
  <si>
    <t>8076 · Other Fundraising Expenses</t>
  </si>
  <si>
    <t>Total 8070 · Special Events Expenses</t>
  </si>
  <si>
    <t>8080 · Computers</t>
  </si>
  <si>
    <t>8081-Computers</t>
  </si>
  <si>
    <t>8082 · Internet</t>
  </si>
  <si>
    <t>8083 · Software</t>
  </si>
  <si>
    <t>8084 · Website</t>
  </si>
  <si>
    <t>Total 8080 · Computers</t>
  </si>
  <si>
    <t>8090 · Youth Activities</t>
  </si>
  <si>
    <t>8091 · Field Trip</t>
  </si>
  <si>
    <t>8092 · Camp of the Hills</t>
  </si>
  <si>
    <t>Total 8090 · Youth Activities</t>
  </si>
  <si>
    <t>Total 8000 · Non-personnel expenses</t>
  </si>
  <si>
    <t>8200 · Occupancy expenses</t>
  </si>
  <si>
    <t>8210 · Contract Cleaning</t>
  </si>
  <si>
    <t>8220 · Utilities</t>
  </si>
  <si>
    <t>8225 · Telephone Expense</t>
  </si>
  <si>
    <t>8230 · Security</t>
  </si>
  <si>
    <t>.</t>
  </si>
  <si>
    <t>8237 · Equipment Rental</t>
  </si>
  <si>
    <t>8240 · Building Repair &amp; Maintenance</t>
  </si>
  <si>
    <t>8245 · Building Insurance</t>
  </si>
  <si>
    <t>8900 · Interest Expense</t>
  </si>
  <si>
    <t>8999 · Depreciation Expense</t>
  </si>
  <si>
    <t>Total 8200 · Occupancy expenses</t>
  </si>
  <si>
    <t>8500 · Other expenses</t>
  </si>
  <si>
    <t>8410 · Staff Appreciation</t>
  </si>
  <si>
    <t>8515 · Fees and Permits</t>
  </si>
  <si>
    <t>8520 · Bank Fees</t>
  </si>
  <si>
    <t>8525 · Background Check Processing Fee</t>
  </si>
  <si>
    <t>8550 · Membership Dues</t>
  </si>
  <si>
    <t>Total 8500 · Other expenses</t>
  </si>
  <si>
    <t>8700 · Meals &amp; Entertainment</t>
  </si>
  <si>
    <t>Non-Program Food</t>
  </si>
  <si>
    <t>8720 · Food &amp; Related Spples/Programs</t>
  </si>
  <si>
    <t>Total 8700 · Meals &amp; Entertainment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</si>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</sst>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37" fontId="4" fillId="0" borderId="0" xfId="0" applyNumberFormat="1" applyFont="1"/>
    <xf numFmtId="37" fontId="3" fillId="0" borderId="0" xfId="0" applyNumberFormat="1" applyFont="1"/>
    <xf numFmtId="37" fontId="4" fillId="0" borderId="1" xfId="0" applyNumberFormat="1" applyFont="1" applyBorder="1"/>
    <xf numFmtId="37" fontId="3" fillId="0" borderId="1" xfId="0" applyNumberFormat="1" applyFont="1" applyBorder="1"/>
    <xf numFmtId="37" fontId="4" fillId="0" borderId="2" xfId="0" applyNumberFormat="1" applyFont="1" applyBorder="1"/>
    <xf numFmtId="37" fontId="4" fillId="0" borderId="3" xfId="0" applyNumberFormat="1" applyFont="1" applyBorder="1"/>
    <xf numFmtId="37" fontId="3" fillId="0" borderId="3" xfId="0" applyNumberFormat="1" applyFont="1" applyBorder="1"/>
    <xf numFmtId="37" fontId="1" fillId="0" borderId="4" xfId="0" applyNumberFormat="1" applyFont="1" applyBorder="1"/>
    <xf numFmtId="3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l/OneDrive/Desktop/Fortress%20Budget%202022.2023%20-%2007.14.22%20KL%20Com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SUPPORT--Fixed Assets"/>
      <sheetName val="SUPPORT--Foundations"/>
      <sheetName val="SUPPORT--Payroll Costs"/>
    </sheetNames>
    <sheetDataSet>
      <sheetData sheetId="0" refreshError="1"/>
      <sheetData sheetId="1" refreshError="1"/>
      <sheetData sheetId="2" refreshError="1"/>
      <sheetData sheetId="3">
        <row r="42">
          <cell r="H42">
            <v>121000</v>
          </cell>
          <cell r="I42">
            <v>5000</v>
          </cell>
          <cell r="J42">
            <v>24000</v>
          </cell>
          <cell r="K42">
            <v>62866</v>
          </cell>
          <cell r="L42">
            <v>139000</v>
          </cell>
          <cell r="M42">
            <v>4000</v>
          </cell>
          <cell r="N42">
            <v>14000</v>
          </cell>
          <cell r="O42">
            <v>64000</v>
          </cell>
          <cell r="P42">
            <v>16000</v>
          </cell>
          <cell r="Q42">
            <v>41000</v>
          </cell>
          <cell r="R42">
            <v>196000</v>
          </cell>
          <cell r="S42">
            <v>38100</v>
          </cell>
        </row>
      </sheetData>
      <sheetData sheetId="4">
        <row r="39">
          <cell r="G39">
            <v>5655.2823076923078</v>
          </cell>
          <cell r="H39">
            <v>1322.6063461538461</v>
          </cell>
          <cell r="I39">
            <v>84236.342115384614</v>
          </cell>
          <cell r="J39">
            <v>268.44</v>
          </cell>
        </row>
        <row r="40">
          <cell r="G40">
            <v>5339.082307692307</v>
          </cell>
          <cell r="H40">
            <v>1248.6563461538462</v>
          </cell>
          <cell r="I40">
            <v>79526.492115384608</v>
          </cell>
          <cell r="J40">
            <v>268.44</v>
          </cell>
        </row>
        <row r="41">
          <cell r="G41">
            <v>5320.8543076923079</v>
          </cell>
          <cell r="H41">
            <v>1244.3933461538461</v>
          </cell>
          <cell r="I41">
            <v>79254.983115384617</v>
          </cell>
          <cell r="J41">
            <v>268.44</v>
          </cell>
        </row>
        <row r="42">
          <cell r="G42">
            <v>5646.3543076923079</v>
          </cell>
          <cell r="H42">
            <v>1320.5183461538461</v>
          </cell>
          <cell r="I42">
            <v>84103.358115384617</v>
          </cell>
          <cell r="J42">
            <v>268.44</v>
          </cell>
        </row>
        <row r="43">
          <cell r="G43">
            <v>7627.9792307692305</v>
          </cell>
          <cell r="H43">
            <v>1783.9628846153846</v>
          </cell>
          <cell r="I43">
            <v>113619.98096153847</v>
          </cell>
          <cell r="J43">
            <v>623.16000000000008</v>
          </cell>
        </row>
        <row r="44">
          <cell r="G44">
            <v>5532.3172307692312</v>
          </cell>
          <cell r="H44">
            <v>1293.8483846153847</v>
          </cell>
          <cell r="I44">
            <v>82404.757461538466</v>
          </cell>
          <cell r="J44">
            <v>268.44</v>
          </cell>
        </row>
        <row r="45">
          <cell r="G45">
            <v>5231.1212307692304</v>
          </cell>
          <cell r="H45">
            <v>1223.4073846153847</v>
          </cell>
          <cell r="I45">
            <v>77918.394461538453</v>
          </cell>
          <cell r="J45">
            <v>268.44</v>
          </cell>
        </row>
        <row r="46">
          <cell r="G46">
            <v>5578.0732307692306</v>
          </cell>
          <cell r="H46">
            <v>1304.5493846153847</v>
          </cell>
          <cell r="I46">
            <v>83086.300461538456</v>
          </cell>
          <cell r="J46">
            <v>268.44</v>
          </cell>
        </row>
        <row r="47">
          <cell r="G47">
            <v>5221.2012307692312</v>
          </cell>
          <cell r="H47">
            <v>1221.0873846153847</v>
          </cell>
          <cell r="I47">
            <v>77770.634461538459</v>
          </cell>
          <cell r="J47">
            <v>268.44</v>
          </cell>
        </row>
        <row r="48">
          <cell r="G48">
            <v>5846.843230769231</v>
          </cell>
          <cell r="H48">
            <v>1367.4068846153848</v>
          </cell>
          <cell r="I48">
            <v>87089.672961538468</v>
          </cell>
          <cell r="J48">
            <v>268.44</v>
          </cell>
        </row>
        <row r="49">
          <cell r="G49">
            <v>7228.58</v>
          </cell>
          <cell r="H49">
            <v>1690.5550000000001</v>
          </cell>
          <cell r="I49">
            <v>107670.86500000001</v>
          </cell>
          <cell r="J49">
            <v>446.76000000000005</v>
          </cell>
        </row>
        <row r="50">
          <cell r="G50">
            <v>5721.36</v>
          </cell>
          <cell r="H50">
            <v>1338.0600000000002</v>
          </cell>
          <cell r="I50">
            <v>85220.58</v>
          </cell>
          <cell r="J50">
            <v>297.84000000000003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864E6-E0B4-4E47-B85D-2E7FAF4B2C14}">
  <dimension ref="A1:U121"/>
  <sheetViews>
    <sheetView tabSelected="1" workbookViewId="0">
      <selection activeCell="I19" sqref="I19"/>
    </sheetView>
  </sheetViews>
  <sheetFormatPr defaultRowHeight="14.5" x14ac:dyDescent="0.35"/>
  <cols>
    <col min="1" max="1" width="2.6328125" customWidth="1"/>
    <col min="2" max="2" width="3.7265625" customWidth="1"/>
    <col min="3" max="3" width="2.81640625" customWidth="1"/>
    <col min="4" max="4" width="3.08984375" customWidth="1"/>
    <col min="5" max="5" width="2.6328125" customWidth="1"/>
    <col min="6" max="6" width="4.453125" customWidth="1"/>
    <col min="7" max="7" width="29.54296875" bestFit="1" customWidth="1"/>
  </cols>
  <sheetData>
    <row r="1" spans="1:21" ht="15" thickBot="1" x14ac:dyDescent="0.4">
      <c r="A1" s="1"/>
      <c r="B1" s="1"/>
      <c r="C1" s="1"/>
      <c r="D1" s="1"/>
      <c r="E1" s="1"/>
      <c r="F1" s="1"/>
      <c r="G1" s="1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2"/>
    </row>
    <row r="2" spans="1:21" ht="15" thickBot="1" x14ac:dyDescent="0.4">
      <c r="A2" s="4"/>
      <c r="B2" s="4"/>
      <c r="C2" s="4"/>
      <c r="D2" s="4"/>
      <c r="E2" s="4"/>
      <c r="F2" s="4"/>
      <c r="G2" s="4"/>
      <c r="H2" s="6" t="s">
        <v>1</v>
      </c>
      <c r="I2" s="6" t="s">
        <v>2</v>
      </c>
      <c r="J2" s="6" t="s">
        <v>3</v>
      </c>
      <c r="K2" s="6" t="s">
        <v>4</v>
      </c>
      <c r="L2" s="6" t="s">
        <v>5</v>
      </c>
      <c r="M2" s="6" t="s">
        <v>6</v>
      </c>
      <c r="N2" s="6" t="s">
        <v>7</v>
      </c>
      <c r="O2" s="6" t="s">
        <v>8</v>
      </c>
      <c r="P2" s="6" t="s">
        <v>9</v>
      </c>
      <c r="Q2" s="6" t="s">
        <v>10</v>
      </c>
      <c r="R2" s="6" t="s">
        <v>11</v>
      </c>
      <c r="S2" s="6" t="s">
        <v>12</v>
      </c>
      <c r="T2" s="5"/>
      <c r="U2" s="6" t="s">
        <v>13</v>
      </c>
    </row>
    <row r="3" spans="1:21" x14ac:dyDescent="0.35">
      <c r="A3" s="1"/>
      <c r="B3" s="1" t="s">
        <v>14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35">
      <c r="A4" s="1"/>
      <c r="B4" s="1"/>
      <c r="C4" s="1"/>
      <c r="D4" s="1" t="s">
        <v>15</v>
      </c>
      <c r="E4" s="1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"/>
      <c r="U4" s="2"/>
    </row>
    <row r="5" spans="1:21" x14ac:dyDescent="0.35">
      <c r="A5" s="1"/>
      <c r="B5" s="1"/>
      <c r="C5" s="1"/>
      <c r="D5" s="1"/>
      <c r="E5" s="1" t="s">
        <v>16</v>
      </c>
      <c r="F5" s="1"/>
      <c r="G5" s="1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2"/>
      <c r="U5" s="2"/>
    </row>
    <row r="6" spans="1:21" x14ac:dyDescent="0.35">
      <c r="A6" s="1"/>
      <c r="B6" s="1"/>
      <c r="C6" s="1"/>
      <c r="D6" s="1"/>
      <c r="E6" s="1"/>
      <c r="F6" s="1" t="s">
        <v>17</v>
      </c>
      <c r="G6" s="1"/>
      <c r="H6" s="8">
        <v>300</v>
      </c>
      <c r="I6" s="8">
        <v>500</v>
      </c>
      <c r="J6" s="8">
        <v>20000</v>
      </c>
      <c r="K6" s="8">
        <v>1125</v>
      </c>
      <c r="L6" s="8">
        <f>35000+17000</f>
        <v>52000</v>
      </c>
      <c r="M6" s="8">
        <v>80000</v>
      </c>
      <c r="N6" s="8">
        <v>300</v>
      </c>
      <c r="O6" s="8">
        <v>20000</v>
      </c>
      <c r="P6" s="8">
        <v>0</v>
      </c>
      <c r="Q6" s="8">
        <v>4000</v>
      </c>
      <c r="R6" s="8">
        <v>15000</v>
      </c>
      <c r="S6" s="8">
        <v>20000</v>
      </c>
      <c r="T6" s="2"/>
      <c r="U6" s="8">
        <f>SUM(H6:S6)</f>
        <v>213225</v>
      </c>
    </row>
    <row r="7" spans="1:21" x14ac:dyDescent="0.35">
      <c r="A7" s="1"/>
      <c r="B7" s="1"/>
      <c r="C7" s="1"/>
      <c r="D7" s="1"/>
      <c r="E7" s="1"/>
      <c r="F7" s="1" t="s">
        <v>18</v>
      </c>
      <c r="G7" s="1"/>
      <c r="H7" s="8">
        <v>3000</v>
      </c>
      <c r="I7" s="8">
        <v>3000</v>
      </c>
      <c r="J7" s="8">
        <v>3000</v>
      </c>
      <c r="K7" s="8">
        <v>3000</v>
      </c>
      <c r="L7" s="8">
        <v>3000</v>
      </c>
      <c r="M7" s="8">
        <v>3000</v>
      </c>
      <c r="N7" s="8">
        <v>3000</v>
      </c>
      <c r="O7" s="8">
        <v>3000</v>
      </c>
      <c r="P7" s="8">
        <v>3000</v>
      </c>
      <c r="Q7" s="8">
        <v>3000</v>
      </c>
      <c r="R7" s="8">
        <v>3000</v>
      </c>
      <c r="S7" s="8">
        <v>3000</v>
      </c>
      <c r="T7" s="2"/>
      <c r="U7" s="8">
        <f t="shared" ref="U7:U12" si="0">SUM(H7:S7)</f>
        <v>36000</v>
      </c>
    </row>
    <row r="8" spans="1:21" x14ac:dyDescent="0.35">
      <c r="A8" s="1"/>
      <c r="B8" s="1"/>
      <c r="C8" s="1"/>
      <c r="D8" s="1"/>
      <c r="E8" s="1"/>
      <c r="F8" s="1" t="s">
        <v>19</v>
      </c>
      <c r="G8" s="1"/>
      <c r="H8" s="8">
        <v>1000</v>
      </c>
      <c r="I8" s="8">
        <v>10000</v>
      </c>
      <c r="J8" s="8">
        <v>10000</v>
      </c>
      <c r="K8" s="8">
        <v>0</v>
      </c>
      <c r="L8" s="8">
        <v>10000</v>
      </c>
      <c r="M8" s="8">
        <v>0</v>
      </c>
      <c r="N8" s="8">
        <v>35000</v>
      </c>
      <c r="O8" s="8">
        <v>10000</v>
      </c>
      <c r="P8" s="8">
        <v>0</v>
      </c>
      <c r="Q8" s="8">
        <v>1270</v>
      </c>
      <c r="R8" s="8">
        <v>0</v>
      </c>
      <c r="S8" s="8">
        <v>0</v>
      </c>
      <c r="T8" s="2"/>
      <c r="U8" s="8">
        <f t="shared" si="0"/>
        <v>77270</v>
      </c>
    </row>
    <row r="9" spans="1:21" x14ac:dyDescent="0.35">
      <c r="A9" s="1"/>
      <c r="B9" s="1"/>
      <c r="C9" s="1"/>
      <c r="D9" s="1"/>
      <c r="E9" s="1"/>
      <c r="F9" s="1" t="s">
        <v>20</v>
      </c>
      <c r="G9" s="1"/>
      <c r="H9" s="8">
        <v>0</v>
      </c>
      <c r="I9" s="8">
        <v>5000</v>
      </c>
      <c r="J9" s="8">
        <v>0</v>
      </c>
      <c r="K9" s="8">
        <v>0</v>
      </c>
      <c r="L9" s="8">
        <v>5000</v>
      </c>
      <c r="M9" s="8">
        <v>0</v>
      </c>
      <c r="N9" s="8">
        <v>0</v>
      </c>
      <c r="O9" s="8">
        <v>5000</v>
      </c>
      <c r="P9" s="8">
        <v>0</v>
      </c>
      <c r="Q9" s="8">
        <v>0</v>
      </c>
      <c r="R9" s="8">
        <v>5000</v>
      </c>
      <c r="S9" s="8">
        <v>0</v>
      </c>
      <c r="T9" s="2"/>
      <c r="U9" s="8">
        <f t="shared" si="0"/>
        <v>20000</v>
      </c>
    </row>
    <row r="10" spans="1:21" x14ac:dyDescent="0.35">
      <c r="A10" s="1"/>
      <c r="B10" s="1"/>
      <c r="C10" s="1"/>
      <c r="D10" s="1"/>
      <c r="E10" s="1"/>
      <c r="F10" s="1" t="s">
        <v>21</v>
      </c>
      <c r="G10" s="1"/>
      <c r="H10" s="8">
        <f>500+3670</f>
        <v>4170</v>
      </c>
      <c r="I10" s="8">
        <f>200+1850+2500</f>
        <v>4550</v>
      </c>
      <c r="J10" s="8">
        <v>2462</v>
      </c>
      <c r="K10" s="8">
        <v>1750</v>
      </c>
      <c r="L10" s="8">
        <f>2500+5714</f>
        <v>8214</v>
      </c>
      <c r="M10" s="8">
        <f>500+1850</f>
        <v>2350</v>
      </c>
      <c r="N10" s="8">
        <v>1930</v>
      </c>
      <c r="O10" s="8">
        <f>2500+1850</f>
        <v>4350</v>
      </c>
      <c r="P10" s="8">
        <v>2350</v>
      </c>
      <c r="Q10" s="8">
        <f>4020+5876</f>
        <v>9896</v>
      </c>
      <c r="R10" s="8">
        <f>1280+1850+2500</f>
        <v>5630</v>
      </c>
      <c r="S10" s="8">
        <f>1280+1850+500</f>
        <v>3630</v>
      </c>
      <c r="T10" s="2"/>
      <c r="U10" s="8">
        <f t="shared" si="0"/>
        <v>51282</v>
      </c>
    </row>
    <row r="11" spans="1:21" x14ac:dyDescent="0.35">
      <c r="A11" s="1"/>
      <c r="B11" s="1"/>
      <c r="C11" s="1"/>
      <c r="D11" s="1"/>
      <c r="E11" s="1"/>
      <c r="F11" s="1" t="s">
        <v>22</v>
      </c>
      <c r="G11" s="1"/>
      <c r="H11" s="8">
        <f>+'[1]SUPPORT--Foundations'!H42</f>
        <v>121000</v>
      </c>
      <c r="I11" s="8">
        <f>+'[1]SUPPORT--Foundations'!I42</f>
        <v>5000</v>
      </c>
      <c r="J11" s="8">
        <f>+'[1]SUPPORT--Foundations'!J42</f>
        <v>24000</v>
      </c>
      <c r="K11" s="8">
        <f>+'[1]SUPPORT--Foundations'!K42</f>
        <v>62866</v>
      </c>
      <c r="L11" s="8">
        <f>+'[1]SUPPORT--Foundations'!L42</f>
        <v>139000</v>
      </c>
      <c r="M11" s="8">
        <f>+'[1]SUPPORT--Foundations'!M42</f>
        <v>4000</v>
      </c>
      <c r="N11" s="8">
        <f>+'[1]SUPPORT--Foundations'!N42</f>
        <v>14000</v>
      </c>
      <c r="O11" s="8">
        <f>+'[1]SUPPORT--Foundations'!O42</f>
        <v>64000</v>
      </c>
      <c r="P11" s="8">
        <f>+'[1]SUPPORT--Foundations'!P42</f>
        <v>16000</v>
      </c>
      <c r="Q11" s="8">
        <f>+'[1]SUPPORT--Foundations'!Q42</f>
        <v>41000</v>
      </c>
      <c r="R11" s="8">
        <f>+'[1]SUPPORT--Foundations'!R42</f>
        <v>196000</v>
      </c>
      <c r="S11" s="8">
        <f>+'[1]SUPPORT--Foundations'!S42</f>
        <v>38100</v>
      </c>
      <c r="T11" s="2"/>
      <c r="U11" s="8">
        <f t="shared" si="0"/>
        <v>724966</v>
      </c>
    </row>
    <row r="12" spans="1:21" ht="15" thickBot="1" x14ac:dyDescent="0.4">
      <c r="A12" s="1"/>
      <c r="B12" s="1"/>
      <c r="C12" s="1"/>
      <c r="D12" s="1"/>
      <c r="E12" s="1"/>
      <c r="F12" s="1" t="s">
        <v>23</v>
      </c>
      <c r="G12" s="1"/>
      <c r="H12" s="9">
        <v>0</v>
      </c>
      <c r="I12" s="9">
        <v>0</v>
      </c>
      <c r="J12" s="9">
        <f>(50000/12)+76000+27500</f>
        <v>107666.66666666667</v>
      </c>
      <c r="K12" s="9">
        <f t="shared" ref="K12:S12" si="1">50000/12</f>
        <v>4166.666666666667</v>
      </c>
      <c r="L12" s="9">
        <f t="shared" si="1"/>
        <v>4166.666666666667</v>
      </c>
      <c r="M12" s="9">
        <f>(50000/12)</f>
        <v>4166.666666666667</v>
      </c>
      <c r="N12" s="9">
        <f t="shared" si="1"/>
        <v>4166.666666666667</v>
      </c>
      <c r="O12" s="9">
        <f t="shared" si="1"/>
        <v>4166.666666666667</v>
      </c>
      <c r="P12" s="9">
        <f t="shared" si="1"/>
        <v>4166.666666666667</v>
      </c>
      <c r="Q12" s="9">
        <f t="shared" si="1"/>
        <v>4166.666666666667</v>
      </c>
      <c r="R12" s="9">
        <f t="shared" si="1"/>
        <v>4166.666666666667</v>
      </c>
      <c r="S12" s="9">
        <f t="shared" si="1"/>
        <v>4166.666666666667</v>
      </c>
      <c r="T12" s="2"/>
      <c r="U12" s="10">
        <f t="shared" si="0"/>
        <v>145166.66666666666</v>
      </c>
    </row>
    <row r="13" spans="1:21" x14ac:dyDescent="0.35">
      <c r="A13" s="1"/>
      <c r="B13" s="1"/>
      <c r="C13" s="1"/>
      <c r="D13" s="1"/>
      <c r="E13" s="1" t="s">
        <v>24</v>
      </c>
      <c r="F13" s="1"/>
      <c r="G13" s="1"/>
      <c r="H13" s="7">
        <f t="shared" ref="H13:U13" si="2">SUM(H6:H12)</f>
        <v>129470</v>
      </c>
      <c r="I13" s="7">
        <f t="shared" si="2"/>
        <v>28050</v>
      </c>
      <c r="J13" s="7">
        <f t="shared" si="2"/>
        <v>167128.66666666669</v>
      </c>
      <c r="K13" s="7">
        <f t="shared" si="2"/>
        <v>72907.666666666672</v>
      </c>
      <c r="L13" s="7">
        <f t="shared" si="2"/>
        <v>221380.66666666666</v>
      </c>
      <c r="M13" s="7">
        <f t="shared" si="2"/>
        <v>93516.666666666672</v>
      </c>
      <c r="N13" s="7">
        <f t="shared" si="2"/>
        <v>58396.666666666664</v>
      </c>
      <c r="O13" s="7">
        <f t="shared" si="2"/>
        <v>110516.66666666667</v>
      </c>
      <c r="P13" s="7">
        <f t="shared" si="2"/>
        <v>25516.666666666668</v>
      </c>
      <c r="Q13" s="7">
        <f t="shared" si="2"/>
        <v>63332.666666666664</v>
      </c>
      <c r="R13" s="7">
        <f t="shared" si="2"/>
        <v>228796.66666666666</v>
      </c>
      <c r="S13" s="7">
        <f t="shared" si="2"/>
        <v>68896.666666666672</v>
      </c>
      <c r="T13" s="2"/>
      <c r="U13" s="7">
        <f t="shared" si="2"/>
        <v>1267909.6666666667</v>
      </c>
    </row>
    <row r="14" spans="1:21" x14ac:dyDescent="0.35">
      <c r="A14" s="1"/>
      <c r="B14" s="1"/>
      <c r="C14" s="1"/>
      <c r="D14" s="1"/>
      <c r="E14" s="1" t="s">
        <v>25</v>
      </c>
      <c r="F14" s="1"/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"/>
      <c r="U14" s="2"/>
    </row>
    <row r="15" spans="1:21" x14ac:dyDescent="0.35">
      <c r="A15" s="1"/>
      <c r="B15" s="1"/>
      <c r="C15" s="1"/>
      <c r="D15" s="1"/>
      <c r="E15" s="1"/>
      <c r="F15" s="1" t="s">
        <v>26</v>
      </c>
      <c r="G15" s="1"/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2000</v>
      </c>
      <c r="N15" s="8">
        <v>0</v>
      </c>
      <c r="O15" s="8">
        <v>0</v>
      </c>
      <c r="P15" s="8">
        <v>0</v>
      </c>
      <c r="Q15" s="8">
        <v>0</v>
      </c>
      <c r="R15" s="8">
        <v>17500</v>
      </c>
      <c r="S15" s="8">
        <v>15625</v>
      </c>
      <c r="T15" s="2"/>
      <c r="U15" s="8">
        <f t="shared" ref="U15:U19" si="3">SUM(H15:S15)</f>
        <v>35125</v>
      </c>
    </row>
    <row r="16" spans="1:21" x14ac:dyDescent="0.35">
      <c r="A16" s="1"/>
      <c r="B16" s="1"/>
      <c r="C16" s="1"/>
      <c r="D16" s="1"/>
      <c r="E16" s="1"/>
      <c r="F16" s="1" t="s">
        <v>27</v>
      </c>
      <c r="G16" s="1"/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2"/>
      <c r="U16" s="8">
        <f t="shared" si="3"/>
        <v>0</v>
      </c>
    </row>
    <row r="17" spans="1:21" x14ac:dyDescent="0.35">
      <c r="A17" s="1"/>
      <c r="B17" s="1"/>
      <c r="C17" s="1"/>
      <c r="D17" s="1"/>
      <c r="E17" s="1"/>
      <c r="F17" s="1" t="s">
        <v>28</v>
      </c>
      <c r="G17" s="1"/>
      <c r="H17" s="8">
        <v>0</v>
      </c>
      <c r="I17" s="8">
        <f t="shared" ref="I17:S17" si="4">135000/12</f>
        <v>11250</v>
      </c>
      <c r="J17" s="8">
        <f t="shared" si="4"/>
        <v>11250</v>
      </c>
      <c r="K17" s="8">
        <f t="shared" si="4"/>
        <v>11250</v>
      </c>
      <c r="L17" s="8">
        <f t="shared" si="4"/>
        <v>11250</v>
      </c>
      <c r="M17" s="8">
        <f t="shared" si="4"/>
        <v>11250</v>
      </c>
      <c r="N17" s="8">
        <f t="shared" si="4"/>
        <v>11250</v>
      </c>
      <c r="O17" s="8">
        <f t="shared" si="4"/>
        <v>11250</v>
      </c>
      <c r="P17" s="8">
        <f t="shared" si="4"/>
        <v>11250</v>
      </c>
      <c r="Q17" s="8">
        <f t="shared" si="4"/>
        <v>11250</v>
      </c>
      <c r="R17" s="8">
        <f t="shared" si="4"/>
        <v>11250</v>
      </c>
      <c r="S17" s="8">
        <f t="shared" si="4"/>
        <v>11250</v>
      </c>
      <c r="T17" s="2"/>
      <c r="U17" s="8">
        <f t="shared" si="3"/>
        <v>123750</v>
      </c>
    </row>
    <row r="18" spans="1:21" x14ac:dyDescent="0.35">
      <c r="A18" s="1"/>
      <c r="B18" s="1"/>
      <c r="C18" s="1"/>
      <c r="D18" s="1"/>
      <c r="E18" s="1"/>
      <c r="F18" s="1" t="s">
        <v>29</v>
      </c>
      <c r="G18" s="1"/>
      <c r="H18" s="8">
        <v>1250</v>
      </c>
      <c r="I18" s="8">
        <v>8002</v>
      </c>
      <c r="J18" s="8">
        <v>10683</v>
      </c>
      <c r="K18" s="8">
        <v>11663</v>
      </c>
      <c r="L18" s="8">
        <v>9957</v>
      </c>
      <c r="M18" s="8">
        <v>6401</v>
      </c>
      <c r="N18" s="8">
        <v>10951</v>
      </c>
      <c r="O18" s="8">
        <v>10951</v>
      </c>
      <c r="P18" s="8">
        <v>9529</v>
      </c>
      <c r="Q18" s="8">
        <v>10951</v>
      </c>
      <c r="R18" s="8">
        <v>11379</v>
      </c>
      <c r="S18" s="8">
        <v>11271</v>
      </c>
      <c r="T18" s="2"/>
      <c r="U18" s="8">
        <f t="shared" si="3"/>
        <v>112988</v>
      </c>
    </row>
    <row r="19" spans="1:21" ht="15" thickBot="1" x14ac:dyDescent="0.4">
      <c r="A19" s="1"/>
      <c r="B19" s="1"/>
      <c r="C19" s="1"/>
      <c r="D19" s="1"/>
      <c r="E19" s="1"/>
      <c r="F19" s="1" t="s">
        <v>30</v>
      </c>
      <c r="G19" s="1"/>
      <c r="H19" s="10">
        <f>300+1200+200</f>
        <v>1700</v>
      </c>
      <c r="I19" s="10">
        <f t="shared" ref="I19:S19" si="5">300+1200</f>
        <v>1500</v>
      </c>
      <c r="J19" s="10">
        <f>300+1200+200</f>
        <v>1700</v>
      </c>
      <c r="K19" s="10">
        <f t="shared" si="5"/>
        <v>1500</v>
      </c>
      <c r="L19" s="10">
        <f t="shared" si="5"/>
        <v>1500</v>
      </c>
      <c r="M19" s="10">
        <f>300+1200+200</f>
        <v>1700</v>
      </c>
      <c r="N19" s="10">
        <f t="shared" si="5"/>
        <v>1500</v>
      </c>
      <c r="O19" s="10">
        <f>300+1200+200</f>
        <v>1700</v>
      </c>
      <c r="P19" s="10">
        <f t="shared" si="5"/>
        <v>1500</v>
      </c>
      <c r="Q19" s="10">
        <f>300+1200+200</f>
        <v>1700</v>
      </c>
      <c r="R19" s="10">
        <f t="shared" si="5"/>
        <v>1500</v>
      </c>
      <c r="S19" s="10">
        <f t="shared" si="5"/>
        <v>1500</v>
      </c>
      <c r="T19" s="2"/>
      <c r="U19" s="10">
        <f t="shared" si="3"/>
        <v>19000</v>
      </c>
    </row>
    <row r="20" spans="1:21" x14ac:dyDescent="0.35">
      <c r="A20" s="1"/>
      <c r="B20" s="1"/>
      <c r="C20" s="1"/>
      <c r="D20" s="1"/>
      <c r="E20" s="1" t="s">
        <v>31</v>
      </c>
      <c r="F20" s="1"/>
      <c r="G20" s="1"/>
      <c r="H20" s="7">
        <f>SUM(H15:H19)</f>
        <v>2950</v>
      </c>
      <c r="I20" s="7">
        <f t="shared" ref="I20:U20" si="6">SUM(I15:I19)</f>
        <v>20752</v>
      </c>
      <c r="J20" s="7">
        <f t="shared" si="6"/>
        <v>23633</v>
      </c>
      <c r="K20" s="7">
        <f t="shared" si="6"/>
        <v>24413</v>
      </c>
      <c r="L20" s="7">
        <f t="shared" si="6"/>
        <v>22707</v>
      </c>
      <c r="M20" s="7">
        <f t="shared" si="6"/>
        <v>21351</v>
      </c>
      <c r="N20" s="7">
        <f t="shared" si="6"/>
        <v>23701</v>
      </c>
      <c r="O20" s="7">
        <f t="shared" si="6"/>
        <v>23901</v>
      </c>
      <c r="P20" s="7">
        <f t="shared" si="6"/>
        <v>22279</v>
      </c>
      <c r="Q20" s="7">
        <f t="shared" si="6"/>
        <v>23901</v>
      </c>
      <c r="R20" s="7">
        <f t="shared" si="6"/>
        <v>41629</v>
      </c>
      <c r="S20" s="7">
        <f t="shared" si="6"/>
        <v>39646</v>
      </c>
      <c r="T20" s="2"/>
      <c r="U20" s="7">
        <f t="shared" si="6"/>
        <v>290863</v>
      </c>
    </row>
    <row r="21" spans="1:21" x14ac:dyDescent="0.35">
      <c r="A21" s="1"/>
      <c r="B21" s="1"/>
      <c r="C21" s="1"/>
      <c r="D21" s="1"/>
      <c r="E21" s="1" t="s">
        <v>32</v>
      </c>
      <c r="F21" s="1"/>
      <c r="G21" s="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"/>
      <c r="U21" s="2"/>
    </row>
    <row r="22" spans="1:21" x14ac:dyDescent="0.35">
      <c r="A22" s="1"/>
      <c r="B22" s="1"/>
      <c r="C22" s="1"/>
      <c r="D22" s="1"/>
      <c r="E22" s="1"/>
      <c r="F22" s="1" t="s">
        <v>33</v>
      </c>
      <c r="G22" s="1"/>
      <c r="H22" s="8">
        <v>0</v>
      </c>
      <c r="I22" s="8">
        <v>5000</v>
      </c>
      <c r="J22" s="8">
        <v>0</v>
      </c>
      <c r="K22" s="8">
        <v>0</v>
      </c>
      <c r="L22" s="8">
        <v>1675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10000</v>
      </c>
      <c r="S22" s="8">
        <v>0</v>
      </c>
      <c r="T22" s="2"/>
      <c r="U22" s="8">
        <f t="shared" ref="U22:U26" si="7">SUM(H22:S22)</f>
        <v>16675</v>
      </c>
    </row>
    <row r="23" spans="1:21" x14ac:dyDescent="0.35">
      <c r="A23" s="1"/>
      <c r="B23" s="1"/>
      <c r="C23" s="1"/>
      <c r="D23" s="1"/>
      <c r="E23" s="1"/>
      <c r="F23" s="1" t="s">
        <v>34</v>
      </c>
      <c r="G23" s="1"/>
      <c r="H23" s="8">
        <v>1200</v>
      </c>
      <c r="I23" s="8">
        <v>0</v>
      </c>
      <c r="J23" s="8">
        <v>0</v>
      </c>
      <c r="K23" s="8">
        <v>0</v>
      </c>
      <c r="L23" s="8">
        <v>450</v>
      </c>
      <c r="M23" s="8">
        <v>0</v>
      </c>
      <c r="N23" s="8">
        <v>450</v>
      </c>
      <c r="O23" s="8">
        <v>0</v>
      </c>
      <c r="P23" s="8">
        <v>0</v>
      </c>
      <c r="Q23" s="8">
        <v>280</v>
      </c>
      <c r="R23" s="8">
        <v>0</v>
      </c>
      <c r="S23" s="8">
        <v>0</v>
      </c>
      <c r="T23" s="2"/>
      <c r="U23" s="8">
        <f t="shared" si="7"/>
        <v>2380</v>
      </c>
    </row>
    <row r="24" spans="1:21" ht="15" thickBot="1" x14ac:dyDescent="0.4">
      <c r="A24" s="1"/>
      <c r="B24" s="1"/>
      <c r="C24" s="1"/>
      <c r="D24" s="1"/>
      <c r="E24" s="1"/>
      <c r="F24" s="1" t="s">
        <v>35</v>
      </c>
      <c r="G24" s="1"/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60000</v>
      </c>
      <c r="Q24" s="9">
        <v>0</v>
      </c>
      <c r="R24" s="9">
        <v>0</v>
      </c>
      <c r="S24" s="9">
        <v>0</v>
      </c>
      <c r="T24" s="2"/>
      <c r="U24" s="10">
        <f t="shared" si="7"/>
        <v>60000</v>
      </c>
    </row>
    <row r="25" spans="1:21" x14ac:dyDescent="0.35">
      <c r="A25" s="1"/>
      <c r="B25" s="1"/>
      <c r="C25" s="1"/>
      <c r="D25" s="1"/>
      <c r="E25" s="1"/>
      <c r="F25" s="1" t="s">
        <v>36</v>
      </c>
      <c r="G25" s="1"/>
      <c r="H25" s="7">
        <f t="shared" ref="H25:S25" si="8">ROUND(SUM(H22:H24),5)</f>
        <v>1200</v>
      </c>
      <c r="I25" s="7">
        <f t="shared" si="8"/>
        <v>5000</v>
      </c>
      <c r="J25" s="7">
        <f t="shared" si="8"/>
        <v>0</v>
      </c>
      <c r="K25" s="7">
        <f t="shared" si="8"/>
        <v>0</v>
      </c>
      <c r="L25" s="7">
        <f t="shared" si="8"/>
        <v>2125</v>
      </c>
      <c r="M25" s="7">
        <f t="shared" si="8"/>
        <v>0</v>
      </c>
      <c r="N25" s="7">
        <f t="shared" si="8"/>
        <v>450</v>
      </c>
      <c r="O25" s="7">
        <f t="shared" si="8"/>
        <v>0</v>
      </c>
      <c r="P25" s="7">
        <f t="shared" si="8"/>
        <v>60000</v>
      </c>
      <c r="Q25" s="7">
        <f t="shared" si="8"/>
        <v>280</v>
      </c>
      <c r="R25" s="7">
        <f t="shared" si="8"/>
        <v>10000</v>
      </c>
      <c r="S25" s="7">
        <f t="shared" si="8"/>
        <v>0</v>
      </c>
      <c r="T25" s="2"/>
      <c r="U25" s="7">
        <f t="shared" ref="U25" si="9">ROUND(SUM(U22:U24),5)</f>
        <v>79055</v>
      </c>
    </row>
    <row r="26" spans="1:21" ht="15" thickBot="1" x14ac:dyDescent="0.4">
      <c r="A26" s="1"/>
      <c r="B26" s="1"/>
      <c r="C26" s="1"/>
      <c r="D26" s="1"/>
      <c r="E26" s="1"/>
      <c r="F26" s="1" t="s">
        <v>37</v>
      </c>
      <c r="G26" s="1"/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2"/>
      <c r="U26" s="8">
        <f t="shared" si="7"/>
        <v>0</v>
      </c>
    </row>
    <row r="27" spans="1:21" ht="15" thickBot="1" x14ac:dyDescent="0.4">
      <c r="A27" s="1"/>
      <c r="B27" s="1"/>
      <c r="C27" s="1"/>
      <c r="D27" s="1"/>
      <c r="E27" s="1" t="s">
        <v>38</v>
      </c>
      <c r="F27" s="1"/>
      <c r="G27" s="1"/>
      <c r="H27" s="11">
        <f t="shared" ref="H27:S27" si="10">ROUND(H21+SUM(H25:H26),5)</f>
        <v>1200</v>
      </c>
      <c r="I27" s="11">
        <f t="shared" si="10"/>
        <v>5000</v>
      </c>
      <c r="J27" s="11">
        <f t="shared" si="10"/>
        <v>0</v>
      </c>
      <c r="K27" s="11">
        <f t="shared" si="10"/>
        <v>0</v>
      </c>
      <c r="L27" s="11">
        <f t="shared" si="10"/>
        <v>2125</v>
      </c>
      <c r="M27" s="11">
        <f t="shared" si="10"/>
        <v>0</v>
      </c>
      <c r="N27" s="11">
        <f t="shared" si="10"/>
        <v>450</v>
      </c>
      <c r="O27" s="11">
        <f t="shared" si="10"/>
        <v>0</v>
      </c>
      <c r="P27" s="11">
        <f t="shared" si="10"/>
        <v>60000</v>
      </c>
      <c r="Q27" s="11">
        <f t="shared" si="10"/>
        <v>280</v>
      </c>
      <c r="R27" s="11">
        <f t="shared" si="10"/>
        <v>10000</v>
      </c>
      <c r="S27" s="11">
        <f t="shared" si="10"/>
        <v>0</v>
      </c>
      <c r="T27" s="2"/>
      <c r="U27" s="11">
        <f t="shared" ref="U27" si="11">ROUND(U21+SUM(U25:U26),5)</f>
        <v>79055</v>
      </c>
    </row>
    <row r="28" spans="1:21" ht="15" thickBot="1" x14ac:dyDescent="0.4">
      <c r="A28" s="1"/>
      <c r="B28" s="1"/>
      <c r="C28" s="1"/>
      <c r="D28" s="1" t="s">
        <v>39</v>
      </c>
      <c r="E28" s="1"/>
      <c r="F28" s="1"/>
      <c r="G28" s="1"/>
      <c r="H28" s="12">
        <f t="shared" ref="H28:S28" si="12">ROUND(H4+H13+H20+H27,5)</f>
        <v>133620</v>
      </c>
      <c r="I28" s="12">
        <f t="shared" si="12"/>
        <v>53802</v>
      </c>
      <c r="J28" s="12">
        <f t="shared" si="12"/>
        <v>190761.66667000001</v>
      </c>
      <c r="K28" s="12">
        <f t="shared" si="12"/>
        <v>97320.666670000006</v>
      </c>
      <c r="L28" s="12">
        <f t="shared" si="12"/>
        <v>246212.66667000001</v>
      </c>
      <c r="M28" s="12">
        <f t="shared" si="12"/>
        <v>114867.66667000001</v>
      </c>
      <c r="N28" s="12">
        <f t="shared" si="12"/>
        <v>82547.666670000006</v>
      </c>
      <c r="O28" s="12">
        <f t="shared" si="12"/>
        <v>134417.66667000001</v>
      </c>
      <c r="P28" s="12">
        <f t="shared" si="12"/>
        <v>107795.66667000001</v>
      </c>
      <c r="Q28" s="12">
        <f t="shared" si="12"/>
        <v>87513.666670000006</v>
      </c>
      <c r="R28" s="12">
        <f t="shared" si="12"/>
        <v>280425.66667000001</v>
      </c>
      <c r="S28" s="12">
        <f t="shared" si="12"/>
        <v>108542.66667000001</v>
      </c>
      <c r="T28" s="2"/>
      <c r="U28" s="12">
        <f t="shared" ref="U28" si="13">ROUND(U4+U13+U20+U27,5)</f>
        <v>1637827.6666699999</v>
      </c>
    </row>
    <row r="29" spans="1:21" x14ac:dyDescent="0.35">
      <c r="A29" s="1"/>
      <c r="B29" s="1"/>
      <c r="C29" s="1" t="s">
        <v>40</v>
      </c>
      <c r="D29" s="1"/>
      <c r="E29" s="1"/>
      <c r="F29" s="1"/>
      <c r="G29" s="1"/>
      <c r="H29" s="7">
        <f t="shared" ref="H29:S29" si="14">H28</f>
        <v>133620</v>
      </c>
      <c r="I29" s="7">
        <f t="shared" si="14"/>
        <v>53802</v>
      </c>
      <c r="J29" s="7">
        <f t="shared" si="14"/>
        <v>190761.66667000001</v>
      </c>
      <c r="K29" s="7">
        <f t="shared" si="14"/>
        <v>97320.666670000006</v>
      </c>
      <c r="L29" s="7">
        <f t="shared" si="14"/>
        <v>246212.66667000001</v>
      </c>
      <c r="M29" s="7">
        <f t="shared" si="14"/>
        <v>114867.66667000001</v>
      </c>
      <c r="N29" s="7">
        <f t="shared" si="14"/>
        <v>82547.666670000006</v>
      </c>
      <c r="O29" s="7">
        <f t="shared" si="14"/>
        <v>134417.66667000001</v>
      </c>
      <c r="P29" s="7">
        <f t="shared" si="14"/>
        <v>107795.66667000001</v>
      </c>
      <c r="Q29" s="7">
        <f t="shared" si="14"/>
        <v>87513.666670000006</v>
      </c>
      <c r="R29" s="7">
        <f t="shared" si="14"/>
        <v>280425.66667000001</v>
      </c>
      <c r="S29" s="7">
        <f t="shared" si="14"/>
        <v>108542.66667000001</v>
      </c>
      <c r="T29" s="2"/>
      <c r="U29" s="7">
        <f t="shared" ref="U29" si="15">U28</f>
        <v>1637827.6666699999</v>
      </c>
    </row>
    <row r="30" spans="1:21" x14ac:dyDescent="0.35">
      <c r="A30" s="1"/>
      <c r="B30" s="1"/>
      <c r="C30" s="1"/>
      <c r="D30" s="1" t="s">
        <v>41</v>
      </c>
      <c r="E30" s="1"/>
      <c r="F30" s="1"/>
      <c r="G30" s="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2"/>
      <c r="U30" s="2"/>
    </row>
    <row r="31" spans="1:21" x14ac:dyDescent="0.35">
      <c r="A31" s="1"/>
      <c r="B31" s="1"/>
      <c r="C31" s="1"/>
      <c r="D31" s="1"/>
      <c r="E31" s="1" t="s">
        <v>42</v>
      </c>
      <c r="F31" s="1"/>
      <c r="G31" s="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2"/>
      <c r="U31" s="2"/>
    </row>
    <row r="32" spans="1:21" x14ac:dyDescent="0.35">
      <c r="A32" s="1"/>
      <c r="B32" s="1"/>
      <c r="C32" s="1"/>
      <c r="D32" s="1"/>
      <c r="E32" s="1"/>
      <c r="F32" s="1" t="s">
        <v>43</v>
      </c>
      <c r="G32" s="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"/>
      <c r="U32" s="2"/>
    </row>
    <row r="33" spans="1:21" x14ac:dyDescent="0.35">
      <c r="A33" s="1"/>
      <c r="B33" s="1"/>
      <c r="C33" s="1"/>
      <c r="D33" s="1"/>
      <c r="E33" s="1"/>
      <c r="F33" s="1"/>
      <c r="G33" s="1" t="s">
        <v>44</v>
      </c>
      <c r="H33" s="8">
        <f>1638+112</f>
        <v>1750</v>
      </c>
      <c r="I33" s="8">
        <f>126+294+320+320</f>
        <v>1060</v>
      </c>
      <c r="J33" s="8">
        <f>320+126+320</f>
        <v>766</v>
      </c>
      <c r="K33" s="8">
        <f>240+126+240</f>
        <v>606</v>
      </c>
      <c r="L33" s="8">
        <f>160+160</f>
        <v>320</v>
      </c>
      <c r="M33" s="8">
        <f>252+112+100+100</f>
        <v>564</v>
      </c>
      <c r="N33" s="8">
        <f>252+224+320+320</f>
        <v>1116</v>
      </c>
      <c r="O33" s="8">
        <f>126+112+224+420+420</f>
        <v>1302</v>
      </c>
      <c r="P33" s="8">
        <f>252+224+240+240</f>
        <v>956</v>
      </c>
      <c r="Q33" s="8">
        <f>2400+882+400</f>
        <v>3682</v>
      </c>
      <c r="R33" s="8">
        <f>9600+2100+1600</f>
        <v>13300</v>
      </c>
      <c r="S33" s="8">
        <f>9600+1092+1600</f>
        <v>12292</v>
      </c>
      <c r="T33" s="8"/>
      <c r="U33" s="8">
        <f t="shared" ref="U33:U34" si="16">SUM(H33:S33)</f>
        <v>37714</v>
      </c>
    </row>
    <row r="34" spans="1:21" ht="15" thickBot="1" x14ac:dyDescent="0.4">
      <c r="A34" s="1"/>
      <c r="B34" s="1"/>
      <c r="C34" s="1"/>
      <c r="D34" s="1"/>
      <c r="E34" s="1"/>
      <c r="F34" s="1"/>
      <c r="G34" s="1" t="s">
        <v>45</v>
      </c>
      <c r="H34" s="10">
        <f>+'[1]SUPPORT--Payroll Costs'!I39</f>
        <v>84236.342115384614</v>
      </c>
      <c r="I34" s="10">
        <f>+'[1]SUPPORT--Payroll Costs'!I40</f>
        <v>79526.492115384608</v>
      </c>
      <c r="J34" s="10">
        <f>+'[1]SUPPORT--Payroll Costs'!I41</f>
        <v>79254.983115384617</v>
      </c>
      <c r="K34" s="10">
        <f>+'[1]SUPPORT--Payroll Costs'!I42</f>
        <v>84103.358115384617</v>
      </c>
      <c r="L34" s="10">
        <f>+'[1]SUPPORT--Payroll Costs'!I43</f>
        <v>113619.98096153847</v>
      </c>
      <c r="M34" s="10">
        <f>+'[1]SUPPORT--Payroll Costs'!I44</f>
        <v>82404.757461538466</v>
      </c>
      <c r="N34" s="10">
        <f>+'[1]SUPPORT--Payroll Costs'!I45</f>
        <v>77918.394461538453</v>
      </c>
      <c r="O34" s="10">
        <f>+'[1]SUPPORT--Payroll Costs'!I46</f>
        <v>83086.300461538456</v>
      </c>
      <c r="P34" s="10">
        <f>+'[1]SUPPORT--Payroll Costs'!I47</f>
        <v>77770.634461538459</v>
      </c>
      <c r="Q34" s="10">
        <f>+'[1]SUPPORT--Payroll Costs'!I48</f>
        <v>87089.672961538468</v>
      </c>
      <c r="R34" s="10">
        <f>+'[1]SUPPORT--Payroll Costs'!I49</f>
        <v>107670.86500000001</v>
      </c>
      <c r="S34" s="10">
        <f>+'[1]SUPPORT--Payroll Costs'!I50</f>
        <v>85220.58</v>
      </c>
      <c r="T34" s="8"/>
      <c r="U34" s="10">
        <f t="shared" si="16"/>
        <v>1041902.3612307693</v>
      </c>
    </row>
    <row r="35" spans="1:21" x14ac:dyDescent="0.35">
      <c r="A35" s="1"/>
      <c r="B35" s="1"/>
      <c r="C35" s="1"/>
      <c r="D35" s="1"/>
      <c r="E35" s="1"/>
      <c r="F35" s="1" t="s">
        <v>46</v>
      </c>
      <c r="G35" s="1"/>
      <c r="H35" s="7">
        <f t="shared" ref="H35:S35" si="17">SUM(H33:H34)</f>
        <v>85986.342115384614</v>
      </c>
      <c r="I35" s="7">
        <f t="shared" si="17"/>
        <v>80586.492115384608</v>
      </c>
      <c r="J35" s="7">
        <f t="shared" si="17"/>
        <v>80020.983115384617</v>
      </c>
      <c r="K35" s="7">
        <f t="shared" si="17"/>
        <v>84709.358115384617</v>
      </c>
      <c r="L35" s="7">
        <f t="shared" si="17"/>
        <v>113939.98096153847</v>
      </c>
      <c r="M35" s="7">
        <f t="shared" si="17"/>
        <v>82968.757461538466</v>
      </c>
      <c r="N35" s="7">
        <f t="shared" si="17"/>
        <v>79034.394461538453</v>
      </c>
      <c r="O35" s="7">
        <f t="shared" si="17"/>
        <v>84388.300461538456</v>
      </c>
      <c r="P35" s="7">
        <f t="shared" si="17"/>
        <v>78726.634461538459</v>
      </c>
      <c r="Q35" s="7">
        <f t="shared" si="17"/>
        <v>90771.672961538468</v>
      </c>
      <c r="R35" s="7">
        <f t="shared" si="17"/>
        <v>120970.86500000001</v>
      </c>
      <c r="S35" s="7">
        <f t="shared" si="17"/>
        <v>97512.58</v>
      </c>
      <c r="T35" s="8"/>
      <c r="U35" s="8">
        <f>+U33+U34</f>
        <v>1079616.3612307692</v>
      </c>
    </row>
    <row r="36" spans="1:21" x14ac:dyDescent="0.35">
      <c r="A36" s="1"/>
      <c r="B36" s="1"/>
      <c r="C36" s="1"/>
      <c r="D36" s="1"/>
      <c r="E36" s="1"/>
      <c r="F36" s="1" t="s">
        <v>47</v>
      </c>
      <c r="G36" s="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35">
      <c r="A37" s="1"/>
      <c r="B37" s="1"/>
      <c r="C37" s="1"/>
      <c r="D37" s="1"/>
      <c r="E37" s="1"/>
      <c r="F37" s="1"/>
      <c r="G37" s="1" t="s">
        <v>48</v>
      </c>
      <c r="H37" s="8">
        <f>+'[1]SUPPORT--Payroll Costs'!G39</f>
        <v>5655.2823076923078</v>
      </c>
      <c r="I37" s="8">
        <f>+'[1]SUPPORT--Payroll Costs'!G40</f>
        <v>5339.082307692307</v>
      </c>
      <c r="J37" s="8">
        <f>+'[1]SUPPORT--Payroll Costs'!G41</f>
        <v>5320.8543076923079</v>
      </c>
      <c r="K37" s="8">
        <f>+'[1]SUPPORT--Payroll Costs'!G42</f>
        <v>5646.3543076923079</v>
      </c>
      <c r="L37" s="8">
        <f>+'[1]SUPPORT--Payroll Costs'!G43</f>
        <v>7627.9792307692305</v>
      </c>
      <c r="M37" s="8">
        <f>+'[1]SUPPORT--Payroll Costs'!G44</f>
        <v>5532.3172307692312</v>
      </c>
      <c r="N37" s="8">
        <f>+'[1]SUPPORT--Payroll Costs'!G45</f>
        <v>5231.1212307692304</v>
      </c>
      <c r="O37" s="8">
        <f>+'[1]SUPPORT--Payroll Costs'!G46</f>
        <v>5578.0732307692306</v>
      </c>
      <c r="P37" s="8">
        <f>+'[1]SUPPORT--Payroll Costs'!G47</f>
        <v>5221.2012307692312</v>
      </c>
      <c r="Q37" s="8">
        <f>+'[1]SUPPORT--Payroll Costs'!G48</f>
        <v>5846.843230769231</v>
      </c>
      <c r="R37" s="8">
        <f>+'[1]SUPPORT--Payroll Costs'!G49</f>
        <v>7228.58</v>
      </c>
      <c r="S37" s="8">
        <f>+'[1]SUPPORT--Payroll Costs'!G50</f>
        <v>5721.36</v>
      </c>
      <c r="T37" s="8"/>
      <c r="U37" s="8">
        <f t="shared" ref="U37:U38" si="18">SUM(H37:S37)</f>
        <v>69949.048615384614</v>
      </c>
    </row>
    <row r="38" spans="1:21" ht="15" thickBot="1" x14ac:dyDescent="0.4">
      <c r="A38" s="1"/>
      <c r="B38" s="1"/>
      <c r="C38" s="1"/>
      <c r="D38" s="1"/>
      <c r="E38" s="1"/>
      <c r="F38" s="1"/>
      <c r="G38" s="1" t="s">
        <v>49</v>
      </c>
      <c r="H38" s="8">
        <f>+'[1]SUPPORT--Payroll Costs'!H39</f>
        <v>1322.6063461538461</v>
      </c>
      <c r="I38" s="8">
        <f>+'[1]SUPPORT--Payroll Costs'!H40</f>
        <v>1248.6563461538462</v>
      </c>
      <c r="J38" s="8">
        <f>+'[1]SUPPORT--Payroll Costs'!H41</f>
        <v>1244.3933461538461</v>
      </c>
      <c r="K38" s="8">
        <f>+'[1]SUPPORT--Payroll Costs'!H42</f>
        <v>1320.5183461538461</v>
      </c>
      <c r="L38" s="8">
        <f>+'[1]SUPPORT--Payroll Costs'!H43</f>
        <v>1783.9628846153846</v>
      </c>
      <c r="M38" s="8">
        <f>+'[1]SUPPORT--Payroll Costs'!H44</f>
        <v>1293.8483846153847</v>
      </c>
      <c r="N38" s="8">
        <f>+'[1]SUPPORT--Payroll Costs'!H45</f>
        <v>1223.4073846153847</v>
      </c>
      <c r="O38" s="8">
        <f>+'[1]SUPPORT--Payroll Costs'!H46</f>
        <v>1304.5493846153847</v>
      </c>
      <c r="P38" s="8">
        <f>+'[1]SUPPORT--Payroll Costs'!H47</f>
        <v>1221.0873846153847</v>
      </c>
      <c r="Q38" s="8">
        <f>+'[1]SUPPORT--Payroll Costs'!H48</f>
        <v>1367.4068846153848</v>
      </c>
      <c r="R38" s="8">
        <f>+'[1]SUPPORT--Payroll Costs'!H49</f>
        <v>1690.5550000000001</v>
      </c>
      <c r="S38" s="8">
        <f>+'[1]SUPPORT--Payroll Costs'!H50</f>
        <v>1338.0600000000002</v>
      </c>
      <c r="T38" s="8"/>
      <c r="U38" s="10">
        <f t="shared" si="18"/>
        <v>16359.05169230769</v>
      </c>
    </row>
    <row r="39" spans="1:21" ht="15" thickBot="1" x14ac:dyDescent="0.4">
      <c r="A39" s="1"/>
      <c r="B39" s="1"/>
      <c r="C39" s="1"/>
      <c r="D39" s="1"/>
      <c r="E39" s="1"/>
      <c r="F39" s="1" t="s">
        <v>50</v>
      </c>
      <c r="G39" s="1"/>
      <c r="H39" s="12">
        <f t="shared" ref="H39:S39" si="19">ROUND(SUM(H36:H38),5)</f>
        <v>6977.8886499999999</v>
      </c>
      <c r="I39" s="12">
        <f t="shared" si="19"/>
        <v>6587.7386500000002</v>
      </c>
      <c r="J39" s="12">
        <f t="shared" si="19"/>
        <v>6565.2476500000002</v>
      </c>
      <c r="K39" s="12">
        <f t="shared" si="19"/>
        <v>6966.8726500000002</v>
      </c>
      <c r="L39" s="12">
        <f t="shared" si="19"/>
        <v>9411.9421199999997</v>
      </c>
      <c r="M39" s="12">
        <f t="shared" si="19"/>
        <v>6826.1656199999998</v>
      </c>
      <c r="N39" s="12">
        <f t="shared" si="19"/>
        <v>6454.52862</v>
      </c>
      <c r="O39" s="12">
        <f t="shared" si="19"/>
        <v>6882.6226200000001</v>
      </c>
      <c r="P39" s="12">
        <f t="shared" si="19"/>
        <v>6442.2886200000003</v>
      </c>
      <c r="Q39" s="12">
        <f t="shared" si="19"/>
        <v>7214.2501199999997</v>
      </c>
      <c r="R39" s="12">
        <f t="shared" si="19"/>
        <v>8919.1350000000002</v>
      </c>
      <c r="S39" s="12">
        <f t="shared" si="19"/>
        <v>7059.42</v>
      </c>
      <c r="T39" s="8"/>
      <c r="U39" s="13">
        <f>+U37+U38</f>
        <v>86308.100307692308</v>
      </c>
    </row>
    <row r="40" spans="1:21" x14ac:dyDescent="0.35">
      <c r="A40" s="1"/>
      <c r="B40" s="1"/>
      <c r="C40" s="1"/>
      <c r="D40" s="1"/>
      <c r="E40" s="1" t="s">
        <v>51</v>
      </c>
      <c r="F40" s="1"/>
      <c r="G40" s="1"/>
      <c r="H40" s="7">
        <f>+H35+H39</f>
        <v>92964.230765384607</v>
      </c>
      <c r="I40" s="7">
        <f t="shared" ref="I40:U40" si="20">+I35+I39</f>
        <v>87174.230765384607</v>
      </c>
      <c r="J40" s="7">
        <f t="shared" si="20"/>
        <v>86586.230765384622</v>
      </c>
      <c r="K40" s="7">
        <f t="shared" si="20"/>
        <v>91676.230765384622</v>
      </c>
      <c r="L40" s="7">
        <f t="shared" si="20"/>
        <v>123351.92308153847</v>
      </c>
      <c r="M40" s="7">
        <f t="shared" si="20"/>
        <v>89794.923081538465</v>
      </c>
      <c r="N40" s="7">
        <f t="shared" si="20"/>
        <v>85488.923081538451</v>
      </c>
      <c r="O40" s="7">
        <f t="shared" si="20"/>
        <v>91270.923081538451</v>
      </c>
      <c r="P40" s="7">
        <f t="shared" si="20"/>
        <v>85168.923081538465</v>
      </c>
      <c r="Q40" s="7">
        <f t="shared" si="20"/>
        <v>97985.923081538465</v>
      </c>
      <c r="R40" s="7">
        <f t="shared" si="20"/>
        <v>129890</v>
      </c>
      <c r="S40" s="7">
        <f t="shared" si="20"/>
        <v>104572</v>
      </c>
      <c r="T40" s="2"/>
      <c r="U40" s="7">
        <f t="shared" si="20"/>
        <v>1165924.4615384615</v>
      </c>
    </row>
    <row r="41" spans="1:21" x14ac:dyDescent="0.35">
      <c r="A41" s="1"/>
      <c r="B41" s="1"/>
      <c r="C41" s="1"/>
      <c r="D41" s="1"/>
      <c r="E41" s="1" t="s">
        <v>52</v>
      </c>
      <c r="F41" s="1"/>
      <c r="G41" s="1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"/>
      <c r="U41" s="2"/>
    </row>
    <row r="42" spans="1:21" x14ac:dyDescent="0.35">
      <c r="A42" s="1"/>
      <c r="B42" s="1"/>
      <c r="C42" s="1"/>
      <c r="D42" s="1"/>
      <c r="E42" s="1"/>
      <c r="F42" s="1" t="s">
        <v>53</v>
      </c>
      <c r="G42" s="1"/>
      <c r="H42" s="8">
        <v>0</v>
      </c>
      <c r="I42" s="8">
        <v>0</v>
      </c>
      <c r="J42" s="8">
        <v>0</v>
      </c>
      <c r="K42" s="8">
        <v>0</v>
      </c>
      <c r="L42" s="8">
        <v>700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2"/>
      <c r="U42" s="8">
        <f t="shared" ref="U42:U44" si="21">SUM(H42:S42)</f>
        <v>700</v>
      </c>
    </row>
    <row r="43" spans="1:21" x14ac:dyDescent="0.35">
      <c r="A43" s="1"/>
      <c r="B43" s="1"/>
      <c r="C43" s="1"/>
      <c r="D43" s="1"/>
      <c r="E43" s="1"/>
      <c r="F43" s="1" t="s">
        <v>54</v>
      </c>
      <c r="G43" s="1"/>
      <c r="H43" s="8">
        <v>201</v>
      </c>
      <c r="I43" s="8">
        <v>212</v>
      </c>
      <c r="J43" s="8">
        <v>211</v>
      </c>
      <c r="K43" s="8">
        <v>132</v>
      </c>
      <c r="L43" s="8">
        <v>15</v>
      </c>
      <c r="M43" s="8">
        <v>430</v>
      </c>
      <c r="N43" s="8">
        <v>420</v>
      </c>
      <c r="O43" s="8">
        <v>334</v>
      </c>
      <c r="P43" s="8">
        <v>164</v>
      </c>
      <c r="Q43" s="8">
        <v>24</v>
      </c>
      <c r="R43" s="8">
        <v>14</v>
      </c>
      <c r="S43" s="8">
        <v>6</v>
      </c>
      <c r="T43" s="2"/>
      <c r="U43" s="8">
        <f t="shared" si="21"/>
        <v>2163</v>
      </c>
    </row>
    <row r="44" spans="1:21" ht="15" thickBot="1" x14ac:dyDescent="0.4">
      <c r="A44" s="1"/>
      <c r="B44" s="1"/>
      <c r="C44" s="1"/>
      <c r="D44" s="1"/>
      <c r="E44" s="1"/>
      <c r="F44" s="1" t="s">
        <v>55</v>
      </c>
      <c r="G44" s="1"/>
      <c r="H44" s="10">
        <f>+'[1]SUPPORT--Payroll Costs'!J39</f>
        <v>268.44</v>
      </c>
      <c r="I44" s="10">
        <f>+'[1]SUPPORT--Payroll Costs'!J40</f>
        <v>268.44</v>
      </c>
      <c r="J44" s="10">
        <f>+'[1]SUPPORT--Payroll Costs'!J41</f>
        <v>268.44</v>
      </c>
      <c r="K44" s="10">
        <f>+'[1]SUPPORT--Payroll Costs'!J42</f>
        <v>268.44</v>
      </c>
      <c r="L44" s="10">
        <f>+'[1]SUPPORT--Payroll Costs'!J43</f>
        <v>623.16000000000008</v>
      </c>
      <c r="M44" s="10">
        <f>+'[1]SUPPORT--Payroll Costs'!J44+350</f>
        <v>618.44000000000005</v>
      </c>
      <c r="N44" s="10">
        <f>+'[1]SUPPORT--Payroll Costs'!J45</f>
        <v>268.44</v>
      </c>
      <c r="O44" s="10">
        <f>+'[1]SUPPORT--Payroll Costs'!J46</f>
        <v>268.44</v>
      </c>
      <c r="P44" s="10">
        <f>+'[1]SUPPORT--Payroll Costs'!J47</f>
        <v>268.44</v>
      </c>
      <c r="Q44" s="10">
        <f>+'[1]SUPPORT--Payroll Costs'!J48</f>
        <v>268.44</v>
      </c>
      <c r="R44" s="10">
        <f>+'[1]SUPPORT--Payroll Costs'!J49</f>
        <v>446.76000000000005</v>
      </c>
      <c r="S44" s="10">
        <f>+'[1]SUPPORT--Payroll Costs'!J50</f>
        <v>297.84000000000003</v>
      </c>
      <c r="T44" s="2"/>
      <c r="U44" s="10">
        <f t="shared" si="21"/>
        <v>4133.72</v>
      </c>
    </row>
    <row r="45" spans="1:21" ht="15" thickBot="1" x14ac:dyDescent="0.4">
      <c r="A45" s="1"/>
      <c r="B45" s="1"/>
      <c r="C45" s="1"/>
      <c r="D45" s="1"/>
      <c r="E45" s="1" t="s">
        <v>56</v>
      </c>
      <c r="F45" s="1"/>
      <c r="G45" s="1"/>
      <c r="H45" s="12">
        <f t="shared" ref="H45:S45" si="22">ROUND(SUM(H41:H44),5)</f>
        <v>469.44</v>
      </c>
      <c r="I45" s="12">
        <f t="shared" si="22"/>
        <v>480.44</v>
      </c>
      <c r="J45" s="12">
        <f t="shared" si="22"/>
        <v>479.44</v>
      </c>
      <c r="K45" s="12">
        <f t="shared" si="22"/>
        <v>400.44</v>
      </c>
      <c r="L45" s="12">
        <f t="shared" si="22"/>
        <v>1338.16</v>
      </c>
      <c r="M45" s="12">
        <f t="shared" si="22"/>
        <v>1048.44</v>
      </c>
      <c r="N45" s="12">
        <f t="shared" si="22"/>
        <v>688.44</v>
      </c>
      <c r="O45" s="12">
        <f t="shared" si="22"/>
        <v>602.44000000000005</v>
      </c>
      <c r="P45" s="12">
        <f t="shared" si="22"/>
        <v>432.44</v>
      </c>
      <c r="Q45" s="12">
        <f t="shared" si="22"/>
        <v>292.44</v>
      </c>
      <c r="R45" s="12">
        <f t="shared" si="22"/>
        <v>460.76</v>
      </c>
      <c r="S45" s="12">
        <f t="shared" si="22"/>
        <v>303.83999999999997</v>
      </c>
      <c r="T45" s="2"/>
      <c r="U45" s="12">
        <f t="shared" ref="U45" si="23">ROUND(SUM(U41:U44),5)</f>
        <v>6996.72</v>
      </c>
    </row>
    <row r="46" spans="1:21" ht="15" thickBot="1" x14ac:dyDescent="0.4">
      <c r="A46" s="1"/>
      <c r="B46" s="1"/>
      <c r="C46" s="1"/>
      <c r="D46" s="1"/>
      <c r="E46" s="1"/>
      <c r="F46" s="1"/>
      <c r="G46" s="1" t="s">
        <v>57</v>
      </c>
      <c r="H46" s="12">
        <f t="shared" ref="H46:S46" si="24">+H40+H45</f>
        <v>93433.67076538461</v>
      </c>
      <c r="I46" s="12">
        <f t="shared" si="24"/>
        <v>87654.67076538461</v>
      </c>
      <c r="J46" s="12">
        <f t="shared" si="24"/>
        <v>87065.670765384624</v>
      </c>
      <c r="K46" s="12">
        <f t="shared" si="24"/>
        <v>92076.670765384624</v>
      </c>
      <c r="L46" s="12">
        <f t="shared" si="24"/>
        <v>124690.08308153847</v>
      </c>
      <c r="M46" s="12">
        <f t="shared" si="24"/>
        <v>90843.363081538468</v>
      </c>
      <c r="N46" s="12">
        <f t="shared" si="24"/>
        <v>86177.363081538453</v>
      </c>
      <c r="O46" s="12">
        <f t="shared" si="24"/>
        <v>91873.363081538453</v>
      </c>
      <c r="P46" s="12">
        <f t="shared" si="24"/>
        <v>85601.363081538468</v>
      </c>
      <c r="Q46" s="12">
        <f t="shared" si="24"/>
        <v>98278.363081538468</v>
      </c>
      <c r="R46" s="12">
        <f t="shared" si="24"/>
        <v>130350.76</v>
      </c>
      <c r="S46" s="12">
        <f t="shared" si="24"/>
        <v>104875.84</v>
      </c>
      <c r="T46" s="2"/>
      <c r="U46" s="12">
        <f t="shared" ref="U46" si="25">+U40+U45</f>
        <v>1172921.1815384615</v>
      </c>
    </row>
    <row r="47" spans="1:21" x14ac:dyDescent="0.35">
      <c r="A47" s="1"/>
      <c r="B47" s="1"/>
      <c r="C47" s="1"/>
      <c r="D47" s="1"/>
      <c r="E47" s="1" t="s">
        <v>58</v>
      </c>
      <c r="F47" s="1"/>
      <c r="G47" s="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2"/>
      <c r="U47" s="2"/>
    </row>
    <row r="48" spans="1:21" x14ac:dyDescent="0.35">
      <c r="A48" s="1"/>
      <c r="B48" s="1"/>
      <c r="C48" s="1"/>
      <c r="D48" s="1"/>
      <c r="E48" s="1"/>
      <c r="F48" s="1" t="s">
        <v>59</v>
      </c>
      <c r="G48" s="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2"/>
      <c r="U48" s="2"/>
    </row>
    <row r="49" spans="1:21" x14ac:dyDescent="0.35">
      <c r="A49" s="1"/>
      <c r="B49" s="1"/>
      <c r="C49" s="1"/>
      <c r="D49" s="1"/>
      <c r="E49" s="1"/>
      <c r="F49" s="1"/>
      <c r="G49" s="1" t="s">
        <v>60</v>
      </c>
      <c r="H49" s="8">
        <f>100+686</f>
        <v>786</v>
      </c>
      <c r="I49" s="8">
        <f>100+640</f>
        <v>740</v>
      </c>
      <c r="J49" s="8">
        <f>100+111</f>
        <v>211</v>
      </c>
      <c r="K49" s="8">
        <v>100</v>
      </c>
      <c r="L49" s="8">
        <v>100</v>
      </c>
      <c r="M49" s="8">
        <f>100+596</f>
        <v>696</v>
      </c>
      <c r="N49" s="8">
        <v>100</v>
      </c>
      <c r="O49" s="8">
        <v>100</v>
      </c>
      <c r="P49" s="8">
        <v>100</v>
      </c>
      <c r="Q49" s="8">
        <v>100</v>
      </c>
      <c r="R49" s="8">
        <v>100</v>
      </c>
      <c r="S49" s="8">
        <v>100</v>
      </c>
      <c r="T49" s="2"/>
      <c r="U49" s="8">
        <f t="shared" ref="U49:U55" si="26">SUM(H49:S49)</f>
        <v>3233</v>
      </c>
    </row>
    <row r="50" spans="1:21" x14ac:dyDescent="0.35">
      <c r="A50" s="1"/>
      <c r="B50" s="1"/>
      <c r="C50" s="1"/>
      <c r="D50" s="1"/>
      <c r="E50" s="1"/>
      <c r="F50" s="1"/>
      <c r="G50" s="1" t="s">
        <v>61</v>
      </c>
      <c r="H50" s="8">
        <v>2026</v>
      </c>
      <c r="I50" s="8">
        <v>0</v>
      </c>
      <c r="J50" s="8">
        <v>0</v>
      </c>
      <c r="K50" s="8">
        <v>830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830</v>
      </c>
      <c r="R50" s="8">
        <v>0</v>
      </c>
      <c r="S50" s="8">
        <v>0</v>
      </c>
      <c r="T50" s="2"/>
      <c r="U50" s="8">
        <f t="shared" si="26"/>
        <v>3686</v>
      </c>
    </row>
    <row r="51" spans="1:21" x14ac:dyDescent="0.35">
      <c r="A51" s="1"/>
      <c r="B51" s="1"/>
      <c r="C51" s="1"/>
      <c r="D51" s="1"/>
      <c r="E51" s="1"/>
      <c r="F51" s="1"/>
      <c r="G51" s="1" t="s">
        <v>62</v>
      </c>
      <c r="H51" s="8">
        <f>480+2750+160</f>
        <v>3390</v>
      </c>
      <c r="I51" s="8">
        <v>450</v>
      </c>
      <c r="J51" s="8">
        <v>0</v>
      </c>
      <c r="K51" s="8">
        <v>0</v>
      </c>
      <c r="L51" s="8">
        <v>450</v>
      </c>
      <c r="M51" s="8">
        <v>0</v>
      </c>
      <c r="N51" s="8">
        <v>450</v>
      </c>
      <c r="O51" s="8">
        <v>956</v>
      </c>
      <c r="P51" s="8">
        <v>0</v>
      </c>
      <c r="Q51" s="8">
        <f>70+840</f>
        <v>910</v>
      </c>
      <c r="R51" s="8">
        <f>4300+450</f>
        <v>4750</v>
      </c>
      <c r="S51" s="8">
        <v>0</v>
      </c>
      <c r="T51" s="2"/>
      <c r="U51" s="8">
        <f t="shared" si="26"/>
        <v>11356</v>
      </c>
    </row>
    <row r="52" spans="1:21" x14ac:dyDescent="0.35">
      <c r="A52" s="1"/>
      <c r="B52" s="1"/>
      <c r="C52" s="1"/>
      <c r="D52" s="1"/>
      <c r="E52" s="1"/>
      <c r="F52" s="1"/>
      <c r="G52" s="1" t="s">
        <v>63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2"/>
      <c r="U52" s="8">
        <f t="shared" si="26"/>
        <v>5000</v>
      </c>
    </row>
    <row r="53" spans="1:21" x14ac:dyDescent="0.35">
      <c r="A53" s="1"/>
      <c r="B53" s="1"/>
      <c r="C53" s="1"/>
      <c r="D53" s="1"/>
      <c r="E53" s="1"/>
      <c r="F53" s="1"/>
      <c r="G53" s="1" t="s">
        <v>64</v>
      </c>
      <c r="H53" s="8">
        <f>120+4236+475</f>
        <v>4831</v>
      </c>
      <c r="I53" s="8">
        <f>475+2475</f>
        <v>2950</v>
      </c>
      <c r="J53" s="8">
        <f>120+2645+475</f>
        <v>3240</v>
      </c>
      <c r="K53" s="8">
        <f>475+1815</f>
        <v>2290</v>
      </c>
      <c r="L53" s="8">
        <f>120+1895+475</f>
        <v>2490</v>
      </c>
      <c r="M53" s="8">
        <f>675+475</f>
        <v>1150</v>
      </c>
      <c r="N53" s="8">
        <f>120+2085+475</f>
        <v>2680</v>
      </c>
      <c r="O53" s="8">
        <f>475+1575</f>
        <v>2050</v>
      </c>
      <c r="P53" s="8">
        <f>120+2855+475</f>
        <v>3450</v>
      </c>
      <c r="Q53" s="8">
        <f>475+3305</f>
        <v>3780</v>
      </c>
      <c r="R53" s="8">
        <f>120+5855+475</f>
        <v>6450</v>
      </c>
      <c r="S53" s="8">
        <f>475+1175</f>
        <v>1650</v>
      </c>
      <c r="T53" s="2"/>
      <c r="U53" s="8">
        <f t="shared" si="26"/>
        <v>37011</v>
      </c>
    </row>
    <row r="54" spans="1:21" x14ac:dyDescent="0.35">
      <c r="A54" s="1"/>
      <c r="B54" s="1"/>
      <c r="C54" s="1"/>
      <c r="D54" s="1"/>
      <c r="E54" s="1"/>
      <c r="F54" s="1"/>
      <c r="G54" s="1" t="s">
        <v>65</v>
      </c>
      <c r="H54" s="8">
        <f>150+270+1000</f>
        <v>1420</v>
      </c>
      <c r="I54" s="8">
        <f>150+110</f>
        <v>260</v>
      </c>
      <c r="J54" s="8">
        <f>150+133</f>
        <v>283</v>
      </c>
      <c r="K54" s="8">
        <f>150+270+1000</f>
        <v>1420</v>
      </c>
      <c r="L54" s="8">
        <f>4134</f>
        <v>4134</v>
      </c>
      <c r="M54" s="8">
        <f>150+30</f>
        <v>180</v>
      </c>
      <c r="N54" s="8">
        <f>150+125</f>
        <v>275</v>
      </c>
      <c r="O54" s="8">
        <f>150+235+1000</f>
        <v>1385</v>
      </c>
      <c r="P54" s="8">
        <f>150+800</f>
        <v>950</v>
      </c>
      <c r="Q54" s="8">
        <f>150+350</f>
        <v>500</v>
      </c>
      <c r="R54" s="8">
        <v>0</v>
      </c>
      <c r="S54" s="8">
        <f>1000+150</f>
        <v>1150</v>
      </c>
      <c r="T54" s="2"/>
      <c r="U54" s="8">
        <f>SUM(H54:S54)</f>
        <v>11957</v>
      </c>
    </row>
    <row r="55" spans="1:21" x14ac:dyDescent="0.35">
      <c r="A55" s="1"/>
      <c r="B55" s="1"/>
      <c r="C55" s="1"/>
      <c r="D55" s="1"/>
      <c r="E55" s="1"/>
      <c r="F55" s="1"/>
      <c r="G55" s="1" t="s">
        <v>66</v>
      </c>
      <c r="H55" s="8">
        <f>2455+1850</f>
        <v>4305</v>
      </c>
      <c r="I55" s="8">
        <v>1850</v>
      </c>
      <c r="J55" s="8">
        <f>613+1850</f>
        <v>2463</v>
      </c>
      <c r="K55" s="8">
        <v>550</v>
      </c>
      <c r="L55" s="8">
        <v>1450</v>
      </c>
      <c r="M55" s="8">
        <f>600+1850</f>
        <v>2450</v>
      </c>
      <c r="N55" s="8">
        <v>1850</v>
      </c>
      <c r="O55" s="8">
        <v>1850</v>
      </c>
      <c r="P55" s="8">
        <v>1850</v>
      </c>
      <c r="Q55" s="8">
        <f>5520+1850</f>
        <v>7370</v>
      </c>
      <c r="R55" s="8">
        <v>1850</v>
      </c>
      <c r="S55" s="8">
        <v>1850</v>
      </c>
      <c r="T55" s="2"/>
      <c r="U55" s="8">
        <f t="shared" si="26"/>
        <v>29688</v>
      </c>
    </row>
    <row r="56" spans="1:21" ht="15" thickBot="1" x14ac:dyDescent="0.4">
      <c r="A56" s="1"/>
      <c r="B56" s="1"/>
      <c r="C56" s="1"/>
      <c r="D56" s="1"/>
      <c r="E56" s="1"/>
      <c r="F56" s="1"/>
      <c r="G56" s="1" t="s">
        <v>67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2"/>
      <c r="U56" s="10"/>
    </row>
    <row r="57" spans="1:21" x14ac:dyDescent="0.35">
      <c r="A57" s="1"/>
      <c r="B57" s="1"/>
      <c r="C57" s="1"/>
      <c r="D57" s="1"/>
      <c r="E57" s="1"/>
      <c r="F57" s="1" t="s">
        <v>68</v>
      </c>
      <c r="G57" s="1"/>
      <c r="H57" s="7">
        <f>SUM(H49:H56)</f>
        <v>21758</v>
      </c>
      <c r="I57" s="7">
        <f t="shared" ref="I57:U57" si="27">SUM(I49:I56)</f>
        <v>6250</v>
      </c>
      <c r="J57" s="7">
        <f t="shared" si="27"/>
        <v>6197</v>
      </c>
      <c r="K57" s="7">
        <f t="shared" si="27"/>
        <v>5190</v>
      </c>
      <c r="L57" s="7">
        <f t="shared" si="27"/>
        <v>8624</v>
      </c>
      <c r="M57" s="7">
        <f t="shared" si="27"/>
        <v>4476</v>
      </c>
      <c r="N57" s="7">
        <f t="shared" si="27"/>
        <v>5355</v>
      </c>
      <c r="O57" s="7">
        <f t="shared" si="27"/>
        <v>6341</v>
      </c>
      <c r="P57" s="7">
        <f t="shared" si="27"/>
        <v>6350</v>
      </c>
      <c r="Q57" s="7">
        <f t="shared" si="27"/>
        <v>13490</v>
      </c>
      <c r="R57" s="7">
        <f t="shared" si="27"/>
        <v>13150</v>
      </c>
      <c r="S57" s="7">
        <f t="shared" si="27"/>
        <v>4750</v>
      </c>
      <c r="T57" s="2"/>
      <c r="U57" s="7">
        <f t="shared" si="27"/>
        <v>101931</v>
      </c>
    </row>
    <row r="58" spans="1:21" x14ac:dyDescent="0.35">
      <c r="A58" s="1"/>
      <c r="B58" s="1"/>
      <c r="C58" s="1"/>
      <c r="D58" s="1"/>
      <c r="E58" s="1"/>
      <c r="F58" s="1" t="s">
        <v>69</v>
      </c>
      <c r="G58" s="1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2"/>
      <c r="U58" s="2"/>
    </row>
    <row r="59" spans="1:21" x14ac:dyDescent="0.35">
      <c r="A59" s="1"/>
      <c r="B59" s="1"/>
      <c r="C59" s="1"/>
      <c r="D59" s="1"/>
      <c r="E59" s="1"/>
      <c r="F59" s="1"/>
      <c r="G59" s="1" t="s">
        <v>70</v>
      </c>
      <c r="H59" s="8">
        <v>500</v>
      </c>
      <c r="I59" s="8">
        <f>100+100</f>
        <v>200</v>
      </c>
      <c r="J59" s="8">
        <f>100+100</f>
        <v>200</v>
      </c>
      <c r="K59" s="8">
        <v>100</v>
      </c>
      <c r="L59" s="8">
        <v>100</v>
      </c>
      <c r="M59" s="8">
        <v>100</v>
      </c>
      <c r="N59" s="8">
        <v>100</v>
      </c>
      <c r="O59" s="8">
        <v>100</v>
      </c>
      <c r="P59" s="8">
        <v>100</v>
      </c>
      <c r="Q59" s="8">
        <v>100</v>
      </c>
      <c r="R59" s="8">
        <v>100</v>
      </c>
      <c r="S59" s="8">
        <v>200</v>
      </c>
      <c r="T59" s="2"/>
      <c r="U59" s="8">
        <f t="shared" ref="U59:U61" si="28">SUM(H59:S59)</f>
        <v>1900</v>
      </c>
    </row>
    <row r="60" spans="1:21" x14ac:dyDescent="0.35">
      <c r="A60" s="1"/>
      <c r="B60" s="1"/>
      <c r="C60" s="1"/>
      <c r="D60" s="1"/>
      <c r="E60" s="1"/>
      <c r="F60" s="1"/>
      <c r="G60" s="1" t="s">
        <v>71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100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100</v>
      </c>
      <c r="T60" s="2"/>
      <c r="U60" s="8">
        <f t="shared" si="28"/>
        <v>200</v>
      </c>
    </row>
    <row r="61" spans="1:21" ht="15" thickBot="1" x14ac:dyDescent="0.4">
      <c r="A61" s="1"/>
      <c r="B61" s="1"/>
      <c r="C61" s="1"/>
      <c r="D61" s="1"/>
      <c r="E61" s="1"/>
      <c r="F61" s="1"/>
      <c r="G61" s="1" t="s">
        <v>72</v>
      </c>
      <c r="H61" s="10">
        <v>430</v>
      </c>
      <c r="I61" s="10">
        <v>430</v>
      </c>
      <c r="J61" s="10">
        <v>430</v>
      </c>
      <c r="K61" s="10">
        <v>430</v>
      </c>
      <c r="L61" s="10">
        <v>0</v>
      </c>
      <c r="M61" s="10">
        <v>0</v>
      </c>
      <c r="N61" s="10">
        <v>0</v>
      </c>
      <c r="O61" s="10">
        <v>1650</v>
      </c>
      <c r="P61" s="10">
        <v>450</v>
      </c>
      <c r="Q61" s="10">
        <v>450</v>
      </c>
      <c r="R61" s="10">
        <v>450</v>
      </c>
      <c r="S61" s="10">
        <v>450</v>
      </c>
      <c r="T61" s="2"/>
      <c r="U61" s="10">
        <f t="shared" si="28"/>
        <v>5170</v>
      </c>
    </row>
    <row r="62" spans="1:21" x14ac:dyDescent="0.35">
      <c r="A62" s="1"/>
      <c r="B62" s="1"/>
      <c r="C62" s="1"/>
      <c r="D62" s="1"/>
      <c r="E62" s="1"/>
      <c r="F62" s="1" t="s">
        <v>73</v>
      </c>
      <c r="G62" s="1"/>
      <c r="H62" s="8">
        <f>SUM(H59:H61)</f>
        <v>930</v>
      </c>
      <c r="I62" s="8">
        <f t="shared" ref="I62:U62" si="29">SUM(I59:I61)</f>
        <v>630</v>
      </c>
      <c r="J62" s="8">
        <f t="shared" si="29"/>
        <v>630</v>
      </c>
      <c r="K62" s="8">
        <f t="shared" si="29"/>
        <v>530</v>
      </c>
      <c r="L62" s="8">
        <f t="shared" si="29"/>
        <v>100</v>
      </c>
      <c r="M62" s="8">
        <f t="shared" si="29"/>
        <v>200</v>
      </c>
      <c r="N62" s="8">
        <f t="shared" si="29"/>
        <v>100</v>
      </c>
      <c r="O62" s="8">
        <f t="shared" si="29"/>
        <v>1750</v>
      </c>
      <c r="P62" s="8">
        <f t="shared" si="29"/>
        <v>550</v>
      </c>
      <c r="Q62" s="8">
        <f t="shared" si="29"/>
        <v>550</v>
      </c>
      <c r="R62" s="8">
        <f t="shared" si="29"/>
        <v>550</v>
      </c>
      <c r="S62" s="8">
        <f t="shared" si="29"/>
        <v>750</v>
      </c>
      <c r="T62" s="2"/>
      <c r="U62" s="8">
        <f t="shared" si="29"/>
        <v>7270</v>
      </c>
    </row>
    <row r="63" spans="1:21" x14ac:dyDescent="0.35">
      <c r="A63" s="1"/>
      <c r="B63" s="1"/>
      <c r="C63" s="1"/>
      <c r="D63" s="1"/>
      <c r="E63" s="1"/>
      <c r="F63" s="1" t="s">
        <v>74</v>
      </c>
      <c r="G63" s="1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2"/>
      <c r="U63" s="2"/>
    </row>
    <row r="64" spans="1:21" x14ac:dyDescent="0.35">
      <c r="A64" s="1"/>
      <c r="B64" s="1"/>
      <c r="C64" s="1"/>
      <c r="D64" s="1"/>
      <c r="E64" s="1"/>
      <c r="F64" s="1"/>
      <c r="G64" s="1" t="s">
        <v>75</v>
      </c>
      <c r="H64" s="8">
        <f>150+8313+90+90+20+40+150+150</f>
        <v>9003</v>
      </c>
      <c r="I64" s="8">
        <f>100+461+150</f>
        <v>711</v>
      </c>
      <c r="J64" s="8">
        <f>150+140+2500</f>
        <v>2790</v>
      </c>
      <c r="K64" s="8">
        <f>35+140+150+5000</f>
        <v>5325</v>
      </c>
      <c r="L64" s="8">
        <f>150+2190+150</f>
        <v>2490</v>
      </c>
      <c r="M64" s="8">
        <f>504+3880+75+150</f>
        <v>4609</v>
      </c>
      <c r="N64" s="8">
        <f>380+280+100+150</f>
        <v>910</v>
      </c>
      <c r="O64" s="8">
        <f>240+390+150+5000</f>
        <v>5780</v>
      </c>
      <c r="P64" s="8">
        <f>560+280+150+2500</f>
        <v>3490</v>
      </c>
      <c r="Q64" s="8">
        <f>3240+1000+150</f>
        <v>4390</v>
      </c>
      <c r="R64" s="8">
        <v>150</v>
      </c>
      <c r="S64" s="8">
        <f>3000+150</f>
        <v>3150</v>
      </c>
      <c r="T64" s="2"/>
      <c r="U64" s="8">
        <f t="shared" ref="U64:U66" si="30">SUM(H64:S64)</f>
        <v>42798</v>
      </c>
    </row>
    <row r="65" spans="1:21" x14ac:dyDescent="0.35">
      <c r="A65" s="1"/>
      <c r="B65" s="1"/>
      <c r="C65" s="1"/>
      <c r="D65" s="1"/>
      <c r="E65" s="1"/>
      <c r="F65" s="1"/>
      <c r="G65" s="1" t="s">
        <v>76</v>
      </c>
      <c r="H65" s="8">
        <v>0</v>
      </c>
      <c r="I65" s="8">
        <v>0</v>
      </c>
      <c r="J65" s="8">
        <v>60</v>
      </c>
      <c r="K65" s="8">
        <v>0</v>
      </c>
      <c r="L65" s="8">
        <v>0</v>
      </c>
      <c r="M65" s="8">
        <v>0</v>
      </c>
      <c r="N65" s="8">
        <v>0</v>
      </c>
      <c r="O65" s="8">
        <v>35</v>
      </c>
      <c r="P65" s="8">
        <v>0</v>
      </c>
      <c r="Q65" s="8">
        <v>0</v>
      </c>
      <c r="R65" s="8">
        <v>0</v>
      </c>
      <c r="S65" s="8">
        <v>0</v>
      </c>
      <c r="T65" s="2"/>
      <c r="U65" s="8">
        <f t="shared" si="30"/>
        <v>95</v>
      </c>
    </row>
    <row r="66" spans="1:21" ht="15" thickBot="1" x14ac:dyDescent="0.4">
      <c r="A66" s="1"/>
      <c r="B66" s="1"/>
      <c r="C66" s="1"/>
      <c r="D66" s="1"/>
      <c r="E66" s="1"/>
      <c r="F66" s="1"/>
      <c r="G66" s="1" t="s">
        <v>77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2"/>
      <c r="U66" s="10">
        <f t="shared" si="30"/>
        <v>0</v>
      </c>
    </row>
    <row r="67" spans="1:21" x14ac:dyDescent="0.35">
      <c r="A67" s="1"/>
      <c r="B67" s="1"/>
      <c r="C67" s="1"/>
      <c r="D67" s="1"/>
      <c r="E67" s="1"/>
      <c r="F67" s="1" t="s">
        <v>78</v>
      </c>
      <c r="G67" s="1"/>
      <c r="H67" s="8">
        <f>+H64+H66</f>
        <v>9003</v>
      </c>
      <c r="I67" s="8">
        <f t="shared" ref="I67:U67" si="31">+I64+I66</f>
        <v>711</v>
      </c>
      <c r="J67" s="8">
        <f t="shared" si="31"/>
        <v>2790</v>
      </c>
      <c r="K67" s="8">
        <f t="shared" si="31"/>
        <v>5325</v>
      </c>
      <c r="L67" s="8">
        <f t="shared" si="31"/>
        <v>2490</v>
      </c>
      <c r="M67" s="8">
        <f t="shared" si="31"/>
        <v>4609</v>
      </c>
      <c r="N67" s="8">
        <f t="shared" si="31"/>
        <v>910</v>
      </c>
      <c r="O67" s="8">
        <f t="shared" si="31"/>
        <v>5780</v>
      </c>
      <c r="P67" s="8">
        <f t="shared" si="31"/>
        <v>3490</v>
      </c>
      <c r="Q67" s="8">
        <f t="shared" si="31"/>
        <v>4390</v>
      </c>
      <c r="R67" s="8">
        <f t="shared" si="31"/>
        <v>150</v>
      </c>
      <c r="S67" s="8">
        <f t="shared" si="31"/>
        <v>3150</v>
      </c>
      <c r="T67" s="2"/>
      <c r="U67" s="8">
        <f t="shared" si="31"/>
        <v>42798</v>
      </c>
    </row>
    <row r="68" spans="1:21" x14ac:dyDescent="0.35">
      <c r="A68" s="1"/>
      <c r="B68" s="1"/>
      <c r="C68" s="1"/>
      <c r="D68" s="1"/>
      <c r="E68" s="1"/>
      <c r="F68" s="1" t="s">
        <v>79</v>
      </c>
      <c r="G68" s="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2"/>
      <c r="U68" s="2"/>
    </row>
    <row r="69" spans="1:21" x14ac:dyDescent="0.35">
      <c r="A69" s="1"/>
      <c r="B69" s="1"/>
      <c r="C69" s="1"/>
      <c r="D69" s="1"/>
      <c r="E69" s="1"/>
      <c r="F69" s="1"/>
      <c r="G69" s="1" t="s">
        <v>80</v>
      </c>
      <c r="H69" s="8">
        <f>758</f>
        <v>758</v>
      </c>
      <c r="I69" s="8">
        <v>758</v>
      </c>
      <c r="J69" s="8">
        <v>758</v>
      </c>
      <c r="K69" s="8">
        <v>758</v>
      </c>
      <c r="L69" s="8">
        <v>758</v>
      </c>
      <c r="M69" s="8">
        <v>758</v>
      </c>
      <c r="N69" s="8">
        <v>758</v>
      </c>
      <c r="O69" s="8">
        <v>758</v>
      </c>
      <c r="P69" s="8">
        <v>758</v>
      </c>
      <c r="Q69" s="8">
        <v>758</v>
      </c>
      <c r="R69" s="8">
        <v>758</v>
      </c>
      <c r="S69" s="8">
        <v>758</v>
      </c>
      <c r="T69" s="2"/>
      <c r="U69" s="8">
        <f t="shared" ref="U69:U70" si="32">SUM(H69:S69)</f>
        <v>9096</v>
      </c>
    </row>
    <row r="70" spans="1:21" ht="15" thickBot="1" x14ac:dyDescent="0.4">
      <c r="A70" s="1"/>
      <c r="B70" s="1"/>
      <c r="C70" s="1"/>
      <c r="D70" s="1"/>
      <c r="E70" s="1"/>
      <c r="F70" s="1"/>
      <c r="G70" s="1" t="s">
        <v>81</v>
      </c>
      <c r="H70" s="10">
        <f>500+50+500</f>
        <v>1050</v>
      </c>
      <c r="I70" s="10">
        <f>50+300</f>
        <v>350</v>
      </c>
      <c r="J70" s="10">
        <v>50</v>
      </c>
      <c r="K70" s="10">
        <v>500</v>
      </c>
      <c r="L70" s="10">
        <f>50+4250</f>
        <v>4300</v>
      </c>
      <c r="M70" s="10">
        <f>50+500</f>
        <v>550</v>
      </c>
      <c r="N70" s="10">
        <f>50+500</f>
        <v>550</v>
      </c>
      <c r="O70" s="10">
        <f>50+250</f>
        <v>300</v>
      </c>
      <c r="P70" s="10">
        <f>50+500</f>
        <v>550</v>
      </c>
      <c r="Q70" s="10">
        <f>10000+500</f>
        <v>10500</v>
      </c>
      <c r="R70" s="10">
        <v>0</v>
      </c>
      <c r="S70" s="10">
        <v>800</v>
      </c>
      <c r="T70" s="2"/>
      <c r="U70" s="10">
        <f t="shared" si="32"/>
        <v>19500</v>
      </c>
    </row>
    <row r="71" spans="1:21" x14ac:dyDescent="0.35">
      <c r="A71" s="1"/>
      <c r="B71" s="1"/>
      <c r="C71" s="1"/>
      <c r="D71" s="1"/>
      <c r="E71" s="1"/>
      <c r="F71" s="1" t="s">
        <v>82</v>
      </c>
      <c r="G71" s="1"/>
      <c r="H71" s="8">
        <f>+H69+H70</f>
        <v>1808</v>
      </c>
      <c r="I71" s="8">
        <f t="shared" ref="I71:S71" si="33">+I69+I70</f>
        <v>1108</v>
      </c>
      <c r="J71" s="8">
        <f t="shared" si="33"/>
        <v>808</v>
      </c>
      <c r="K71" s="8">
        <f t="shared" si="33"/>
        <v>1258</v>
      </c>
      <c r="L71" s="8">
        <f t="shared" si="33"/>
        <v>5058</v>
      </c>
      <c r="M71" s="8">
        <f t="shared" si="33"/>
        <v>1308</v>
      </c>
      <c r="N71" s="8">
        <f t="shared" si="33"/>
        <v>1308</v>
      </c>
      <c r="O71" s="8">
        <f t="shared" si="33"/>
        <v>1058</v>
      </c>
      <c r="P71" s="8">
        <f t="shared" si="33"/>
        <v>1308</v>
      </c>
      <c r="Q71" s="8">
        <f t="shared" si="33"/>
        <v>11258</v>
      </c>
      <c r="R71" s="8">
        <f t="shared" si="33"/>
        <v>758</v>
      </c>
      <c r="S71" s="8">
        <f t="shared" si="33"/>
        <v>1558</v>
      </c>
      <c r="T71" s="2"/>
      <c r="U71" s="8">
        <f t="shared" ref="U71" si="34">+U69+U70</f>
        <v>28596</v>
      </c>
    </row>
    <row r="72" spans="1:21" x14ac:dyDescent="0.35">
      <c r="A72" s="1"/>
      <c r="B72" s="1"/>
      <c r="C72" s="1"/>
      <c r="D72" s="1"/>
      <c r="E72" s="1"/>
      <c r="F72" s="1" t="s">
        <v>83</v>
      </c>
      <c r="G72" s="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2"/>
      <c r="U72" s="2"/>
    </row>
    <row r="73" spans="1:21" x14ac:dyDescent="0.35">
      <c r="A73" s="1"/>
      <c r="B73" s="1"/>
      <c r="C73" s="1"/>
      <c r="D73" s="1"/>
      <c r="E73" s="1"/>
      <c r="F73" s="1"/>
      <c r="G73" s="1" t="s">
        <v>84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2050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2"/>
      <c r="U73" s="8">
        <f t="shared" ref="U73:U74" si="35">SUM(H73:S73)</f>
        <v>2050</v>
      </c>
    </row>
    <row r="74" spans="1:21" ht="15" thickBot="1" x14ac:dyDescent="0.4">
      <c r="A74" s="1"/>
      <c r="B74" s="1"/>
      <c r="C74" s="1"/>
      <c r="D74" s="1"/>
      <c r="E74" s="1"/>
      <c r="F74" s="1"/>
      <c r="G74" s="1" t="s">
        <v>85</v>
      </c>
      <c r="H74" s="10">
        <v>300</v>
      </c>
      <c r="I74" s="10">
        <v>300</v>
      </c>
      <c r="J74" s="10">
        <v>300</v>
      </c>
      <c r="K74" s="10">
        <v>300</v>
      </c>
      <c r="L74" s="10">
        <v>300</v>
      </c>
      <c r="M74" s="10">
        <v>0</v>
      </c>
      <c r="N74" s="10">
        <v>0</v>
      </c>
      <c r="O74" s="10">
        <v>1200</v>
      </c>
      <c r="P74" s="10">
        <v>325</v>
      </c>
      <c r="Q74" s="10">
        <v>325</v>
      </c>
      <c r="R74" s="10">
        <v>325</v>
      </c>
      <c r="S74" s="10">
        <v>325</v>
      </c>
      <c r="T74" s="2"/>
      <c r="U74" s="10">
        <f t="shared" si="35"/>
        <v>4000</v>
      </c>
    </row>
    <row r="75" spans="1:21" x14ac:dyDescent="0.35">
      <c r="A75" s="1"/>
      <c r="B75" s="1"/>
      <c r="C75" s="1"/>
      <c r="D75" s="1"/>
      <c r="E75" s="1"/>
      <c r="F75" s="1" t="s">
        <v>86</v>
      </c>
      <c r="G75" s="1"/>
      <c r="H75" s="8">
        <f>+H73+H74</f>
        <v>300</v>
      </c>
      <c r="I75" s="8">
        <f t="shared" ref="I75:S75" si="36">+I73+I74</f>
        <v>300</v>
      </c>
      <c r="J75" s="8">
        <f t="shared" si="36"/>
        <v>300</v>
      </c>
      <c r="K75" s="8">
        <f t="shared" si="36"/>
        <v>300</v>
      </c>
      <c r="L75" s="8">
        <f t="shared" si="36"/>
        <v>300</v>
      </c>
      <c r="M75" s="8">
        <f t="shared" si="36"/>
        <v>0</v>
      </c>
      <c r="N75" s="8">
        <f t="shared" si="36"/>
        <v>2050</v>
      </c>
      <c r="O75" s="8">
        <f t="shared" si="36"/>
        <v>1200</v>
      </c>
      <c r="P75" s="8">
        <f t="shared" si="36"/>
        <v>325</v>
      </c>
      <c r="Q75" s="8">
        <f t="shared" si="36"/>
        <v>325</v>
      </c>
      <c r="R75" s="8">
        <f t="shared" si="36"/>
        <v>325</v>
      </c>
      <c r="S75" s="8">
        <f t="shared" si="36"/>
        <v>325</v>
      </c>
      <c r="T75" s="2"/>
      <c r="U75" s="8">
        <f t="shared" ref="U75" si="37">+U73+U74</f>
        <v>6050</v>
      </c>
    </row>
    <row r="76" spans="1:21" x14ac:dyDescent="0.35">
      <c r="A76" s="1"/>
      <c r="B76" s="1"/>
      <c r="C76" s="1"/>
      <c r="D76" s="1"/>
      <c r="E76" s="1"/>
      <c r="F76" s="1" t="s">
        <v>87</v>
      </c>
      <c r="G76" s="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2"/>
      <c r="U76" s="2"/>
    </row>
    <row r="77" spans="1:21" x14ac:dyDescent="0.35">
      <c r="A77" s="1"/>
      <c r="B77" s="1"/>
      <c r="C77" s="1"/>
      <c r="D77" s="1"/>
      <c r="E77" s="1"/>
      <c r="F77" s="1"/>
      <c r="G77" s="1" t="s">
        <v>88</v>
      </c>
      <c r="H77" s="8">
        <f>500+100</f>
        <v>600</v>
      </c>
      <c r="I77" s="8">
        <v>200</v>
      </c>
      <c r="J77" s="8">
        <v>100</v>
      </c>
      <c r="K77" s="8">
        <v>0</v>
      </c>
      <c r="L77" s="8">
        <f>500+100</f>
        <v>600</v>
      </c>
      <c r="M77" s="8">
        <v>500</v>
      </c>
      <c r="N77" s="8">
        <v>100</v>
      </c>
      <c r="O77" s="8">
        <v>0</v>
      </c>
      <c r="P77" s="8">
        <v>100</v>
      </c>
      <c r="Q77" s="8">
        <v>0</v>
      </c>
      <c r="R77" s="8">
        <f>100+100</f>
        <v>200</v>
      </c>
      <c r="S77" s="8">
        <f>500+100</f>
        <v>600</v>
      </c>
      <c r="T77" s="2"/>
      <c r="U77" s="8">
        <f t="shared" ref="U77:U80" si="38">SUM(H77:S77)</f>
        <v>3000</v>
      </c>
    </row>
    <row r="78" spans="1:21" x14ac:dyDescent="0.35">
      <c r="A78" s="1"/>
      <c r="B78" s="1"/>
      <c r="C78" s="1"/>
      <c r="D78" s="1"/>
      <c r="E78" s="1"/>
      <c r="F78" s="1"/>
      <c r="G78" s="1" t="s">
        <v>89</v>
      </c>
      <c r="H78" s="8">
        <v>632</v>
      </c>
      <c r="I78" s="8">
        <v>0</v>
      </c>
      <c r="J78" s="8">
        <v>75</v>
      </c>
      <c r="K78" s="8">
        <v>0</v>
      </c>
      <c r="L78" s="8">
        <v>180</v>
      </c>
      <c r="M78" s="8">
        <v>0</v>
      </c>
      <c r="N78" s="8">
        <v>0</v>
      </c>
      <c r="O78" s="8">
        <v>0</v>
      </c>
      <c r="P78" s="8">
        <v>228</v>
      </c>
      <c r="Q78" s="8">
        <v>0</v>
      </c>
      <c r="R78" s="8">
        <v>0</v>
      </c>
      <c r="S78" s="8">
        <v>0</v>
      </c>
      <c r="T78" s="2"/>
      <c r="U78" s="8">
        <f t="shared" si="38"/>
        <v>1115</v>
      </c>
    </row>
    <row r="79" spans="1:21" x14ac:dyDescent="0.35">
      <c r="A79" s="1"/>
      <c r="B79" s="1"/>
      <c r="C79" s="1"/>
      <c r="D79" s="1"/>
      <c r="E79" s="1"/>
      <c r="F79" s="1"/>
      <c r="G79" s="1" t="s">
        <v>90</v>
      </c>
      <c r="H79" s="8">
        <v>142</v>
      </c>
      <c r="I79" s="8">
        <f>740+470</f>
        <v>1210</v>
      </c>
      <c r="J79" s="8">
        <f>395+180</f>
        <v>575</v>
      </c>
      <c r="K79" s="8">
        <v>0</v>
      </c>
      <c r="L79" s="8">
        <v>395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2"/>
      <c r="U79" s="8">
        <f t="shared" si="38"/>
        <v>2322</v>
      </c>
    </row>
    <row r="80" spans="1:21" ht="15" thickBot="1" x14ac:dyDescent="0.4">
      <c r="A80" s="1"/>
      <c r="B80" s="1"/>
      <c r="C80" s="1"/>
      <c r="D80" s="1"/>
      <c r="E80" s="1"/>
      <c r="F80" s="1"/>
      <c r="G80" s="1" t="s">
        <v>91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1200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2"/>
      <c r="U80" s="10">
        <f t="shared" si="38"/>
        <v>1200</v>
      </c>
    </row>
    <row r="81" spans="1:21" x14ac:dyDescent="0.35">
      <c r="A81" s="1"/>
      <c r="B81" s="1"/>
      <c r="C81" s="1"/>
      <c r="D81" s="1"/>
      <c r="E81" s="1"/>
      <c r="F81" s="1" t="s">
        <v>92</v>
      </c>
      <c r="G81" s="1"/>
      <c r="H81" s="7">
        <f t="shared" ref="H81:U81" si="39">SUM(H77:H80)</f>
        <v>1374</v>
      </c>
      <c r="I81" s="7">
        <f t="shared" si="39"/>
        <v>1410</v>
      </c>
      <c r="J81" s="7">
        <f t="shared" si="39"/>
        <v>750</v>
      </c>
      <c r="K81" s="7">
        <f t="shared" si="39"/>
        <v>0</v>
      </c>
      <c r="L81" s="7">
        <f t="shared" si="39"/>
        <v>1175</v>
      </c>
      <c r="M81" s="7">
        <f t="shared" si="39"/>
        <v>1700</v>
      </c>
      <c r="N81" s="7">
        <f t="shared" si="39"/>
        <v>100</v>
      </c>
      <c r="O81" s="7">
        <f t="shared" si="39"/>
        <v>0</v>
      </c>
      <c r="P81" s="7">
        <f t="shared" si="39"/>
        <v>328</v>
      </c>
      <c r="Q81" s="7">
        <f t="shared" si="39"/>
        <v>0</v>
      </c>
      <c r="R81" s="7">
        <f t="shared" si="39"/>
        <v>200</v>
      </c>
      <c r="S81" s="7">
        <f t="shared" si="39"/>
        <v>600</v>
      </c>
      <c r="T81" s="2"/>
      <c r="U81" s="7">
        <f t="shared" si="39"/>
        <v>7637</v>
      </c>
    </row>
    <row r="82" spans="1:21" x14ac:dyDescent="0.35">
      <c r="A82" s="1"/>
      <c r="B82" s="1"/>
      <c r="C82" s="1"/>
      <c r="D82" s="1"/>
      <c r="E82" s="1"/>
      <c r="F82" s="1" t="s">
        <v>93</v>
      </c>
      <c r="G82" s="1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2"/>
      <c r="U82" s="2"/>
    </row>
    <row r="83" spans="1:21" ht="15" thickBot="1" x14ac:dyDescent="0.4">
      <c r="A83" s="1"/>
      <c r="B83" s="1"/>
      <c r="C83" s="1"/>
      <c r="D83" s="1"/>
      <c r="E83" s="1"/>
      <c r="F83" s="1"/>
      <c r="G83" s="1" t="s">
        <v>94</v>
      </c>
      <c r="H83" s="10">
        <v>0</v>
      </c>
      <c r="I83" s="10">
        <v>0</v>
      </c>
      <c r="J83" s="10">
        <v>0</v>
      </c>
      <c r="K83" s="10">
        <v>0</v>
      </c>
      <c r="L83" s="10">
        <v>500</v>
      </c>
      <c r="M83" s="10">
        <v>0</v>
      </c>
      <c r="N83" s="10">
        <v>0</v>
      </c>
      <c r="O83" s="10">
        <v>21964</v>
      </c>
      <c r="P83" s="10">
        <v>0</v>
      </c>
      <c r="Q83" s="10">
        <v>0</v>
      </c>
      <c r="R83" s="10">
        <v>500</v>
      </c>
      <c r="S83" s="10">
        <v>0</v>
      </c>
      <c r="T83" s="2"/>
      <c r="U83" s="10">
        <f t="shared" ref="U83" si="40">SUM(H83:S83)</f>
        <v>22964</v>
      </c>
    </row>
    <row r="84" spans="1:21" x14ac:dyDescent="0.35">
      <c r="A84" s="1"/>
      <c r="B84" s="1"/>
      <c r="C84" s="1"/>
      <c r="D84" s="1"/>
      <c r="E84" s="1"/>
      <c r="F84" s="1" t="s">
        <v>95</v>
      </c>
      <c r="G84" s="1"/>
      <c r="H84" s="7">
        <f t="shared" ref="H84:S84" si="41">+H83</f>
        <v>0</v>
      </c>
      <c r="I84" s="7">
        <f t="shared" si="41"/>
        <v>0</v>
      </c>
      <c r="J84" s="7">
        <f t="shared" si="41"/>
        <v>0</v>
      </c>
      <c r="K84" s="7">
        <f t="shared" si="41"/>
        <v>0</v>
      </c>
      <c r="L84" s="7">
        <f t="shared" si="41"/>
        <v>500</v>
      </c>
      <c r="M84" s="7">
        <f t="shared" si="41"/>
        <v>0</v>
      </c>
      <c r="N84" s="7">
        <f t="shared" si="41"/>
        <v>0</v>
      </c>
      <c r="O84" s="7">
        <f t="shared" si="41"/>
        <v>21964</v>
      </c>
      <c r="P84" s="7">
        <f t="shared" si="41"/>
        <v>0</v>
      </c>
      <c r="Q84" s="7">
        <f t="shared" si="41"/>
        <v>0</v>
      </c>
      <c r="R84" s="7">
        <f t="shared" si="41"/>
        <v>500</v>
      </c>
      <c r="S84" s="7">
        <f t="shared" si="41"/>
        <v>0</v>
      </c>
      <c r="T84" s="2"/>
      <c r="U84" s="7">
        <f>+U83</f>
        <v>22964</v>
      </c>
    </row>
    <row r="85" spans="1:21" x14ac:dyDescent="0.35">
      <c r="A85" s="1"/>
      <c r="B85" s="1"/>
      <c r="C85" s="1"/>
      <c r="D85" s="1"/>
      <c r="E85" s="1"/>
      <c r="F85" s="1" t="s">
        <v>96</v>
      </c>
      <c r="G85" s="1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2"/>
      <c r="U85" s="2"/>
    </row>
    <row r="86" spans="1:21" x14ac:dyDescent="0.35">
      <c r="A86" s="1"/>
      <c r="B86" s="1"/>
      <c r="C86" s="1"/>
      <c r="D86" s="1"/>
      <c r="E86" s="1"/>
      <c r="F86" s="1"/>
      <c r="G86" s="1" t="s">
        <v>97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2500</v>
      </c>
      <c r="S86" s="8">
        <v>0</v>
      </c>
      <c r="T86" s="2"/>
      <c r="U86" s="8">
        <f t="shared" ref="U86:U89" si="42">SUM(H86:S86)</f>
        <v>2500</v>
      </c>
    </row>
    <row r="87" spans="1:21" x14ac:dyDescent="0.35">
      <c r="A87" s="1"/>
      <c r="B87" s="1"/>
      <c r="C87" s="1"/>
      <c r="D87" s="1"/>
      <c r="E87" s="1"/>
      <c r="F87" s="1"/>
      <c r="G87" s="1" t="s">
        <v>98</v>
      </c>
      <c r="H87" s="8">
        <v>300</v>
      </c>
      <c r="I87" s="8">
        <v>300</v>
      </c>
      <c r="J87" s="8">
        <v>300</v>
      </c>
      <c r="K87" s="8">
        <v>300</v>
      </c>
      <c r="L87" s="8">
        <v>300</v>
      </c>
      <c r="M87" s="8">
        <v>350</v>
      </c>
      <c r="N87" s="8">
        <v>350</v>
      </c>
      <c r="O87" s="8">
        <v>350</v>
      </c>
      <c r="P87" s="8">
        <v>350</v>
      </c>
      <c r="Q87" s="8">
        <v>350</v>
      </c>
      <c r="R87" s="8">
        <v>350</v>
      </c>
      <c r="S87" s="8">
        <v>350</v>
      </c>
      <c r="T87" s="2"/>
      <c r="U87" s="8">
        <f t="shared" si="42"/>
        <v>3950</v>
      </c>
    </row>
    <row r="88" spans="1:21" x14ac:dyDescent="0.35">
      <c r="A88" s="1"/>
      <c r="B88" s="1"/>
      <c r="C88" s="1"/>
      <c r="D88" s="1"/>
      <c r="E88" s="1"/>
      <c r="F88" s="1"/>
      <c r="G88" s="1" t="s">
        <v>99</v>
      </c>
      <c r="H88" s="8">
        <v>150</v>
      </c>
      <c r="I88" s="8">
        <v>150</v>
      </c>
      <c r="J88" s="8">
        <v>150</v>
      </c>
      <c r="K88" s="8">
        <v>150</v>
      </c>
      <c r="L88" s="8">
        <v>150</v>
      </c>
      <c r="M88" s="8">
        <v>450</v>
      </c>
      <c r="N88" s="8">
        <f>2600+1950</f>
        <v>4550</v>
      </c>
      <c r="O88" s="8">
        <f>312+300</f>
        <v>612</v>
      </c>
      <c r="P88" s="8">
        <v>900</v>
      </c>
      <c r="Q88" s="8">
        <f>3600+4800</f>
        <v>8400</v>
      </c>
      <c r="R88" s="8">
        <v>150</v>
      </c>
      <c r="S88" s="8">
        <v>150</v>
      </c>
      <c r="T88" s="2"/>
      <c r="U88" s="8">
        <f t="shared" si="42"/>
        <v>15962</v>
      </c>
    </row>
    <row r="89" spans="1:21" ht="15" thickBot="1" x14ac:dyDescent="0.4">
      <c r="A89" s="1"/>
      <c r="B89" s="1"/>
      <c r="C89" s="1"/>
      <c r="D89" s="1"/>
      <c r="E89" s="1"/>
      <c r="F89" s="1"/>
      <c r="G89" s="1" t="s">
        <v>100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50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2"/>
      <c r="U89" s="10">
        <f t="shared" si="42"/>
        <v>50</v>
      </c>
    </row>
    <row r="90" spans="1:21" x14ac:dyDescent="0.35">
      <c r="A90" s="1"/>
      <c r="B90" s="1"/>
      <c r="C90" s="1"/>
      <c r="D90" s="1"/>
      <c r="E90" s="1"/>
      <c r="F90" s="1" t="s">
        <v>101</v>
      </c>
      <c r="G90" s="1"/>
      <c r="H90" s="7">
        <f t="shared" ref="H90:U90" si="43">+H87+H88+H89+H86</f>
        <v>450</v>
      </c>
      <c r="I90" s="7">
        <f t="shared" si="43"/>
        <v>450</v>
      </c>
      <c r="J90" s="7">
        <f t="shared" si="43"/>
        <v>450</v>
      </c>
      <c r="K90" s="7">
        <f t="shared" si="43"/>
        <v>450</v>
      </c>
      <c r="L90" s="7">
        <f t="shared" si="43"/>
        <v>450</v>
      </c>
      <c r="M90" s="7">
        <f t="shared" si="43"/>
        <v>850</v>
      </c>
      <c r="N90" s="7">
        <f t="shared" si="43"/>
        <v>4900</v>
      </c>
      <c r="O90" s="7">
        <f t="shared" si="43"/>
        <v>962</v>
      </c>
      <c r="P90" s="7">
        <f t="shared" si="43"/>
        <v>1250</v>
      </c>
      <c r="Q90" s="7">
        <f t="shared" si="43"/>
        <v>8750</v>
      </c>
      <c r="R90" s="7">
        <f t="shared" si="43"/>
        <v>3000</v>
      </c>
      <c r="S90" s="7">
        <f t="shared" si="43"/>
        <v>500</v>
      </c>
      <c r="T90" s="2"/>
      <c r="U90" s="7">
        <f t="shared" si="43"/>
        <v>22462</v>
      </c>
    </row>
    <row r="91" spans="1:21" x14ac:dyDescent="0.35">
      <c r="A91" s="1"/>
      <c r="B91" s="1"/>
      <c r="C91" s="1"/>
      <c r="D91" s="1"/>
      <c r="E91" s="1"/>
      <c r="F91" s="1" t="s">
        <v>102</v>
      </c>
      <c r="G91" s="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2"/>
      <c r="U91" s="2"/>
    </row>
    <row r="92" spans="1:21" x14ac:dyDescent="0.35">
      <c r="A92" s="1"/>
      <c r="B92" s="1"/>
      <c r="C92" s="1"/>
      <c r="D92" s="1"/>
      <c r="E92" s="1"/>
      <c r="F92" s="1"/>
      <c r="G92" s="1" t="s">
        <v>103</v>
      </c>
      <c r="H92" s="8">
        <v>0</v>
      </c>
      <c r="I92" s="8">
        <v>1064</v>
      </c>
      <c r="J92" s="8">
        <v>0</v>
      </c>
      <c r="K92" s="8">
        <v>470</v>
      </c>
      <c r="L92" s="8">
        <v>0</v>
      </c>
      <c r="M92" s="8">
        <v>0</v>
      </c>
      <c r="N92" s="8">
        <v>270</v>
      </c>
      <c r="O92" s="8">
        <v>0</v>
      </c>
      <c r="P92" s="8">
        <v>0</v>
      </c>
      <c r="Q92" s="8">
        <v>270</v>
      </c>
      <c r="R92" s="8">
        <v>1280</v>
      </c>
      <c r="S92" s="8">
        <v>1280</v>
      </c>
      <c r="T92" s="2"/>
      <c r="U92" s="8">
        <f t="shared" ref="U92:U93" si="44">SUM(H92:S92)</f>
        <v>4634</v>
      </c>
    </row>
    <row r="93" spans="1:21" ht="15" thickBot="1" x14ac:dyDescent="0.4">
      <c r="A93" s="1"/>
      <c r="B93" s="1"/>
      <c r="C93" s="1"/>
      <c r="D93" s="1"/>
      <c r="E93" s="1"/>
      <c r="F93" s="1"/>
      <c r="G93" s="1" t="s">
        <v>104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2100</v>
      </c>
      <c r="Q93" s="8">
        <v>0</v>
      </c>
      <c r="R93" s="8">
        <v>0</v>
      </c>
      <c r="S93" s="8">
        <v>0</v>
      </c>
      <c r="T93" s="2"/>
      <c r="U93" s="10">
        <f t="shared" si="44"/>
        <v>2100</v>
      </c>
    </row>
    <row r="94" spans="1:21" ht="15" thickBot="1" x14ac:dyDescent="0.4">
      <c r="A94" s="1"/>
      <c r="B94" s="1"/>
      <c r="C94" s="1"/>
      <c r="D94" s="1"/>
      <c r="E94" s="1"/>
      <c r="F94" s="1" t="s">
        <v>105</v>
      </c>
      <c r="G94" s="1"/>
      <c r="H94" s="12">
        <f t="shared" ref="H94:S94" si="45">+H92+H93</f>
        <v>0</v>
      </c>
      <c r="I94" s="12">
        <f t="shared" si="45"/>
        <v>1064</v>
      </c>
      <c r="J94" s="12">
        <f t="shared" si="45"/>
        <v>0</v>
      </c>
      <c r="K94" s="12">
        <f t="shared" si="45"/>
        <v>470</v>
      </c>
      <c r="L94" s="12">
        <f t="shared" si="45"/>
        <v>0</v>
      </c>
      <c r="M94" s="12">
        <f t="shared" si="45"/>
        <v>0</v>
      </c>
      <c r="N94" s="12">
        <f t="shared" si="45"/>
        <v>270</v>
      </c>
      <c r="O94" s="12">
        <f t="shared" si="45"/>
        <v>0</v>
      </c>
      <c r="P94" s="12">
        <f t="shared" si="45"/>
        <v>2100</v>
      </c>
      <c r="Q94" s="12">
        <f t="shared" si="45"/>
        <v>270</v>
      </c>
      <c r="R94" s="12">
        <f t="shared" si="45"/>
        <v>1280</v>
      </c>
      <c r="S94" s="12">
        <f t="shared" si="45"/>
        <v>1280</v>
      </c>
      <c r="T94" s="2"/>
      <c r="U94" s="13">
        <f t="shared" ref="U94" si="46">+U92+U93</f>
        <v>6734</v>
      </c>
    </row>
    <row r="95" spans="1:21" x14ac:dyDescent="0.35">
      <c r="A95" s="1"/>
      <c r="B95" s="1"/>
      <c r="C95" s="1"/>
      <c r="D95" s="1"/>
      <c r="E95" s="1" t="s">
        <v>106</v>
      </c>
      <c r="F95" s="1"/>
      <c r="G95" s="1"/>
      <c r="H95" s="7">
        <f t="shared" ref="H95:U95" si="47">+H57+H62+H67+H71+H75+H81+H84+H90+H94</f>
        <v>35623</v>
      </c>
      <c r="I95" s="7">
        <f t="shared" si="47"/>
        <v>11923</v>
      </c>
      <c r="J95" s="7">
        <f t="shared" si="47"/>
        <v>11925</v>
      </c>
      <c r="K95" s="7">
        <f t="shared" si="47"/>
        <v>13523</v>
      </c>
      <c r="L95" s="7">
        <f t="shared" si="47"/>
        <v>18697</v>
      </c>
      <c r="M95" s="7">
        <f t="shared" si="47"/>
        <v>13143</v>
      </c>
      <c r="N95" s="7">
        <f t="shared" si="47"/>
        <v>14993</v>
      </c>
      <c r="O95" s="7">
        <f t="shared" si="47"/>
        <v>39055</v>
      </c>
      <c r="P95" s="7">
        <f t="shared" si="47"/>
        <v>15701</v>
      </c>
      <c r="Q95" s="7">
        <f t="shared" si="47"/>
        <v>39033</v>
      </c>
      <c r="R95" s="7">
        <f t="shared" si="47"/>
        <v>19913</v>
      </c>
      <c r="S95" s="7">
        <f t="shared" si="47"/>
        <v>12913</v>
      </c>
      <c r="T95" s="2"/>
      <c r="U95" s="7">
        <f t="shared" si="47"/>
        <v>246442</v>
      </c>
    </row>
    <row r="96" spans="1:21" x14ac:dyDescent="0.35">
      <c r="A96" s="1"/>
      <c r="B96" s="1"/>
      <c r="C96" s="1"/>
      <c r="D96" s="1"/>
      <c r="E96" s="1" t="s">
        <v>107</v>
      </c>
      <c r="F96" s="1"/>
      <c r="G96" s="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2"/>
      <c r="U96" s="2"/>
    </row>
    <row r="97" spans="1:21" x14ac:dyDescent="0.35">
      <c r="A97" s="1"/>
      <c r="B97" s="1"/>
      <c r="C97" s="1"/>
      <c r="D97" s="1"/>
      <c r="E97" s="1"/>
      <c r="F97" s="1" t="s">
        <v>108</v>
      </c>
      <c r="G97" s="1"/>
      <c r="H97" s="8">
        <v>2600</v>
      </c>
      <c r="I97" s="8">
        <v>2600</v>
      </c>
      <c r="J97" s="8">
        <v>2600</v>
      </c>
      <c r="K97" s="8">
        <v>2600</v>
      </c>
      <c r="L97" s="8">
        <v>2600</v>
      </c>
      <c r="M97" s="8">
        <v>2600</v>
      </c>
      <c r="N97" s="8">
        <v>2600</v>
      </c>
      <c r="O97" s="8">
        <v>2600</v>
      </c>
      <c r="P97" s="8">
        <v>2600</v>
      </c>
      <c r="Q97" s="8">
        <v>2600</v>
      </c>
      <c r="R97" s="8">
        <v>2600</v>
      </c>
      <c r="S97" s="8">
        <v>2600</v>
      </c>
      <c r="T97" s="2"/>
      <c r="U97" s="8">
        <f t="shared" ref="U97:U105" si="48">SUM(H97:S97)</f>
        <v>31200</v>
      </c>
    </row>
    <row r="98" spans="1:21" x14ac:dyDescent="0.35">
      <c r="A98" s="1"/>
      <c r="B98" s="1"/>
      <c r="C98" s="1"/>
      <c r="D98" s="1"/>
      <c r="E98" s="1"/>
      <c r="F98" s="1" t="s">
        <v>109</v>
      </c>
      <c r="G98" s="1"/>
      <c r="H98" s="8">
        <v>2750</v>
      </c>
      <c r="I98" s="8">
        <v>2750</v>
      </c>
      <c r="J98" s="8">
        <v>2500</v>
      </c>
      <c r="K98" s="8">
        <v>2500</v>
      </c>
      <c r="L98" s="8">
        <v>2500</v>
      </c>
      <c r="M98" s="8">
        <v>2750</v>
      </c>
      <c r="N98" s="8">
        <v>2750</v>
      </c>
      <c r="O98" s="8">
        <v>2750</v>
      </c>
      <c r="P98" s="8">
        <v>2750</v>
      </c>
      <c r="Q98" s="8">
        <v>3000</v>
      </c>
      <c r="R98" s="8">
        <v>3000</v>
      </c>
      <c r="S98" s="8">
        <v>300</v>
      </c>
      <c r="T98" s="2"/>
      <c r="U98" s="8">
        <f t="shared" si="48"/>
        <v>30300</v>
      </c>
    </row>
    <row r="99" spans="1:21" x14ac:dyDescent="0.35">
      <c r="A99" s="1"/>
      <c r="B99" s="1"/>
      <c r="C99" s="1"/>
      <c r="D99" s="1"/>
      <c r="E99" s="1"/>
      <c r="F99" s="1" t="s">
        <v>110</v>
      </c>
      <c r="G99" s="1"/>
      <c r="H99" s="8">
        <v>780</v>
      </c>
      <c r="I99" s="8">
        <v>780</v>
      </c>
      <c r="J99" s="8">
        <v>780</v>
      </c>
      <c r="K99" s="8">
        <v>780</v>
      </c>
      <c r="L99" s="8">
        <v>780</v>
      </c>
      <c r="M99" s="8">
        <v>800</v>
      </c>
      <c r="N99" s="8">
        <v>800</v>
      </c>
      <c r="O99" s="8">
        <v>800</v>
      </c>
      <c r="P99" s="8">
        <v>800</v>
      </c>
      <c r="Q99" s="8">
        <v>800</v>
      </c>
      <c r="R99" s="8">
        <v>800</v>
      </c>
      <c r="S99" s="8">
        <v>800</v>
      </c>
      <c r="T99" s="2"/>
      <c r="U99" s="8">
        <f t="shared" si="48"/>
        <v>9500</v>
      </c>
    </row>
    <row r="100" spans="1:21" x14ac:dyDescent="0.35">
      <c r="A100" s="1"/>
      <c r="B100" s="1"/>
      <c r="C100" s="1"/>
      <c r="D100" s="1"/>
      <c r="E100" s="1"/>
      <c r="F100" s="1" t="s">
        <v>111</v>
      </c>
      <c r="G100" s="1"/>
      <c r="H100" s="8">
        <v>900</v>
      </c>
      <c r="I100" s="8">
        <v>900</v>
      </c>
      <c r="J100" s="8">
        <v>900</v>
      </c>
      <c r="K100" s="8">
        <v>900</v>
      </c>
      <c r="L100" s="8">
        <v>900</v>
      </c>
      <c r="M100" s="8">
        <v>1500</v>
      </c>
      <c r="N100" s="8">
        <v>900</v>
      </c>
      <c r="O100" s="8">
        <v>900</v>
      </c>
      <c r="P100" s="8">
        <v>900</v>
      </c>
      <c r="Q100" s="8">
        <v>900</v>
      </c>
      <c r="R100" s="8">
        <v>900</v>
      </c>
      <c r="S100" s="8">
        <v>900</v>
      </c>
      <c r="T100" s="2"/>
      <c r="U100" s="8">
        <f t="shared" si="48"/>
        <v>11400</v>
      </c>
    </row>
    <row r="101" spans="1:21" x14ac:dyDescent="0.35">
      <c r="A101" s="1"/>
      <c r="B101" s="1"/>
      <c r="C101" s="1" t="s">
        <v>112</v>
      </c>
      <c r="D101" s="1"/>
      <c r="E101" s="1"/>
      <c r="F101" s="1" t="s">
        <v>113</v>
      </c>
      <c r="G101" s="1"/>
      <c r="H101" s="8">
        <v>50</v>
      </c>
      <c r="I101" s="8">
        <v>50</v>
      </c>
      <c r="J101" s="8">
        <v>50</v>
      </c>
      <c r="K101" s="8">
        <v>50</v>
      </c>
      <c r="L101" s="8">
        <v>50</v>
      </c>
      <c r="M101" s="8">
        <v>50</v>
      </c>
      <c r="N101" s="8">
        <v>50</v>
      </c>
      <c r="O101" s="8">
        <v>50</v>
      </c>
      <c r="P101" s="8">
        <v>50</v>
      </c>
      <c r="Q101" s="8">
        <v>50</v>
      </c>
      <c r="R101" s="8">
        <v>50</v>
      </c>
      <c r="S101" s="8">
        <v>50</v>
      </c>
      <c r="T101" s="2"/>
      <c r="U101" s="8">
        <f t="shared" si="48"/>
        <v>600</v>
      </c>
    </row>
    <row r="102" spans="1:21" x14ac:dyDescent="0.35">
      <c r="A102" s="1"/>
      <c r="B102" s="1"/>
      <c r="C102" s="1"/>
      <c r="D102" s="1"/>
      <c r="E102" s="1"/>
      <c r="F102" s="1" t="s">
        <v>114</v>
      </c>
      <c r="G102" s="1"/>
      <c r="H102" s="8">
        <f>600+150+60+50+630+1000+100</f>
        <v>2590</v>
      </c>
      <c r="I102" s="8">
        <f>600+150+60+50+630+1000+100+300</f>
        <v>2890</v>
      </c>
      <c r="J102" s="8">
        <f>600+150+60+50+630+1000+100+300</f>
        <v>2890</v>
      </c>
      <c r="K102" s="8">
        <f>600+150+60+50+630+1000+100+800</f>
        <v>3390</v>
      </c>
      <c r="L102" s="8">
        <f t="shared" ref="L102:S102" si="49">600+150+60+50+630+1000+100</f>
        <v>2590</v>
      </c>
      <c r="M102" s="8">
        <f t="shared" si="49"/>
        <v>2590</v>
      </c>
      <c r="N102" s="8">
        <f t="shared" si="49"/>
        <v>2590</v>
      </c>
      <c r="O102" s="8">
        <f t="shared" si="49"/>
        <v>2590</v>
      </c>
      <c r="P102" s="8">
        <f t="shared" si="49"/>
        <v>2590</v>
      </c>
      <c r="Q102" s="8">
        <f>600+150+60+50+630+1000+100+300</f>
        <v>2890</v>
      </c>
      <c r="R102" s="8">
        <f t="shared" si="49"/>
        <v>2590</v>
      </c>
      <c r="S102" s="8">
        <f t="shared" si="49"/>
        <v>2590</v>
      </c>
      <c r="T102" s="2"/>
      <c r="U102" s="8">
        <f t="shared" si="48"/>
        <v>32780</v>
      </c>
    </row>
    <row r="103" spans="1:21" x14ac:dyDescent="0.35">
      <c r="A103" s="1"/>
      <c r="B103" s="1"/>
      <c r="C103" s="1"/>
      <c r="D103" s="1"/>
      <c r="E103" s="1"/>
      <c r="F103" s="1" t="s">
        <v>115</v>
      </c>
      <c r="G103" s="1"/>
      <c r="H103" s="8">
        <v>1286</v>
      </c>
      <c r="I103" s="8">
        <v>1286</v>
      </c>
      <c r="J103" s="8">
        <v>1286</v>
      </c>
      <c r="K103" s="8">
        <v>1286</v>
      </c>
      <c r="L103" s="8">
        <v>0</v>
      </c>
      <c r="M103" s="8">
        <v>0</v>
      </c>
      <c r="N103" s="8">
        <v>0</v>
      </c>
      <c r="O103" s="8">
        <v>1350</v>
      </c>
      <c r="P103" s="8">
        <v>1350</v>
      </c>
      <c r="Q103" s="8">
        <v>1350</v>
      </c>
      <c r="R103" s="8">
        <v>1350</v>
      </c>
      <c r="S103" s="8">
        <v>1350</v>
      </c>
      <c r="T103" s="2"/>
      <c r="U103" s="8">
        <f t="shared" si="48"/>
        <v>11894</v>
      </c>
    </row>
    <row r="104" spans="1:21" x14ac:dyDescent="0.35">
      <c r="A104" s="1"/>
      <c r="B104" s="1"/>
      <c r="C104" s="1"/>
      <c r="D104" s="1"/>
      <c r="E104" s="1"/>
      <c r="F104" s="1" t="s">
        <v>116</v>
      </c>
      <c r="G104" s="1"/>
      <c r="H104" s="8">
        <v>2250</v>
      </c>
      <c r="I104" s="8">
        <v>2250</v>
      </c>
      <c r="J104" s="8">
        <v>2250</v>
      </c>
      <c r="K104" s="8">
        <v>2250</v>
      </c>
      <c r="L104" s="8">
        <v>2250</v>
      </c>
      <c r="M104" s="8">
        <v>2250</v>
      </c>
      <c r="N104" s="8">
        <v>2250</v>
      </c>
      <c r="O104" s="8">
        <v>2250</v>
      </c>
      <c r="P104" s="8">
        <v>2250</v>
      </c>
      <c r="Q104" s="8">
        <v>2250</v>
      </c>
      <c r="R104" s="8">
        <v>2250</v>
      </c>
      <c r="S104" s="8">
        <v>2250</v>
      </c>
      <c r="T104" s="2"/>
      <c r="U104" s="8">
        <f t="shared" si="48"/>
        <v>27000</v>
      </c>
    </row>
    <row r="105" spans="1:21" ht="15" thickBot="1" x14ac:dyDescent="0.4">
      <c r="A105" s="1"/>
      <c r="B105" s="1"/>
      <c r="C105" s="1"/>
      <c r="D105" s="1"/>
      <c r="E105" s="1"/>
      <c r="F105" s="1" t="s">
        <v>117</v>
      </c>
      <c r="G105" s="1"/>
      <c r="H105" s="10">
        <v>7616</v>
      </c>
      <c r="I105" s="10">
        <v>7616</v>
      </c>
      <c r="J105" s="10">
        <v>7616</v>
      </c>
      <c r="K105" s="10">
        <v>7616</v>
      </c>
      <c r="L105" s="10">
        <v>7699</v>
      </c>
      <c r="M105" s="10">
        <v>7699</v>
      </c>
      <c r="N105" s="10">
        <v>7699</v>
      </c>
      <c r="O105" s="10">
        <v>7699</v>
      </c>
      <c r="P105" s="10">
        <v>8199</v>
      </c>
      <c r="Q105" s="10">
        <v>8199</v>
      </c>
      <c r="R105" s="10">
        <v>8199</v>
      </c>
      <c r="S105" s="10">
        <f>8199+167</f>
        <v>8366</v>
      </c>
      <c r="T105" s="2"/>
      <c r="U105" s="10">
        <f t="shared" si="48"/>
        <v>94223</v>
      </c>
    </row>
    <row r="106" spans="1:21" x14ac:dyDescent="0.35">
      <c r="A106" s="1"/>
      <c r="B106" s="1"/>
      <c r="C106" s="1"/>
      <c r="D106" s="1"/>
      <c r="E106" s="1" t="s">
        <v>118</v>
      </c>
      <c r="F106" s="1"/>
      <c r="G106" s="1"/>
      <c r="H106" s="7">
        <f t="shared" ref="H106:U106" si="50">SUM(H97:H105)</f>
        <v>20822</v>
      </c>
      <c r="I106" s="7">
        <f t="shared" si="50"/>
        <v>21122</v>
      </c>
      <c r="J106" s="7">
        <f t="shared" si="50"/>
        <v>20872</v>
      </c>
      <c r="K106" s="7">
        <f t="shared" si="50"/>
        <v>21372</v>
      </c>
      <c r="L106" s="7">
        <f t="shared" si="50"/>
        <v>19369</v>
      </c>
      <c r="M106" s="7">
        <f t="shared" si="50"/>
        <v>20239</v>
      </c>
      <c r="N106" s="7">
        <f t="shared" si="50"/>
        <v>19639</v>
      </c>
      <c r="O106" s="7">
        <f t="shared" si="50"/>
        <v>20989</v>
      </c>
      <c r="P106" s="7">
        <f t="shared" si="50"/>
        <v>21489</v>
      </c>
      <c r="Q106" s="7">
        <f t="shared" si="50"/>
        <v>22039</v>
      </c>
      <c r="R106" s="7">
        <f t="shared" si="50"/>
        <v>21739</v>
      </c>
      <c r="S106" s="7">
        <f t="shared" si="50"/>
        <v>19206</v>
      </c>
      <c r="T106" s="2"/>
      <c r="U106" s="7">
        <f t="shared" si="50"/>
        <v>248897</v>
      </c>
    </row>
    <row r="107" spans="1:21" x14ac:dyDescent="0.35">
      <c r="A107" s="1"/>
      <c r="B107" s="1"/>
      <c r="C107" s="1"/>
      <c r="D107" s="1"/>
      <c r="E107" s="1" t="s">
        <v>119</v>
      </c>
      <c r="F107" s="1"/>
      <c r="G107" s="1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2"/>
      <c r="U107" s="2"/>
    </row>
    <row r="108" spans="1:21" x14ac:dyDescent="0.35">
      <c r="A108" s="1"/>
      <c r="B108" s="1"/>
      <c r="C108" s="1"/>
      <c r="D108" s="1"/>
      <c r="E108" s="1"/>
      <c r="F108" s="1" t="s">
        <v>120</v>
      </c>
      <c r="G108" s="1"/>
      <c r="H108" s="8">
        <f>25+1410+72+90+60+60</f>
        <v>1717</v>
      </c>
      <c r="I108" s="8">
        <v>25</v>
      </c>
      <c r="J108" s="8">
        <f>25+400</f>
        <v>425</v>
      </c>
      <c r="K108" s="8">
        <f>35+25</f>
        <v>60</v>
      </c>
      <c r="L108" s="8">
        <f>2190+25</f>
        <v>2215</v>
      </c>
      <c r="M108" s="8">
        <f>504+25</f>
        <v>529</v>
      </c>
      <c r="N108" s="8">
        <f>380+25</f>
        <v>405</v>
      </c>
      <c r="O108" s="8">
        <f>20+25</f>
        <v>45</v>
      </c>
      <c r="P108" s="8">
        <f>560+25</f>
        <v>585</v>
      </c>
      <c r="Q108" s="8">
        <f>8840+25</f>
        <v>8865</v>
      </c>
      <c r="R108" s="8">
        <f>90+25</f>
        <v>115</v>
      </c>
      <c r="S108" s="8">
        <f>100+25</f>
        <v>125</v>
      </c>
      <c r="T108" s="2"/>
      <c r="U108" s="8">
        <f t="shared" ref="U108:U112" si="51">SUM(H108:S108)</f>
        <v>15111</v>
      </c>
    </row>
    <row r="109" spans="1:21" x14ac:dyDescent="0.35">
      <c r="A109" s="1"/>
      <c r="B109" s="1"/>
      <c r="C109" s="1"/>
      <c r="D109" s="1"/>
      <c r="E109" s="1"/>
      <c r="F109" s="1" t="s">
        <v>121</v>
      </c>
      <c r="G109" s="1"/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f>395+400</f>
        <v>795</v>
      </c>
      <c r="N109" s="8">
        <v>0</v>
      </c>
      <c r="O109" s="8">
        <v>150</v>
      </c>
      <c r="P109" s="8">
        <v>0</v>
      </c>
      <c r="Q109" s="8">
        <v>0</v>
      </c>
      <c r="R109" s="8">
        <v>100</v>
      </c>
      <c r="S109" s="8">
        <v>0</v>
      </c>
      <c r="T109" s="2"/>
      <c r="U109" s="8">
        <f t="shared" si="51"/>
        <v>1045</v>
      </c>
    </row>
    <row r="110" spans="1:21" x14ac:dyDescent="0.35">
      <c r="A110" s="1"/>
      <c r="B110" s="1"/>
      <c r="C110" s="1"/>
      <c r="D110" s="1"/>
      <c r="E110" s="1"/>
      <c r="F110" s="1" t="s">
        <v>122</v>
      </c>
      <c r="G110" s="1"/>
      <c r="H110" s="8">
        <v>350</v>
      </c>
      <c r="I110" s="8">
        <v>350</v>
      </c>
      <c r="J110" s="8">
        <v>350</v>
      </c>
      <c r="K110" s="8">
        <v>350</v>
      </c>
      <c r="L110" s="8">
        <v>350</v>
      </c>
      <c r="M110" s="8">
        <v>350</v>
      </c>
      <c r="N110" s="8">
        <v>350</v>
      </c>
      <c r="O110" s="8">
        <v>400</v>
      </c>
      <c r="P110" s="8">
        <v>800</v>
      </c>
      <c r="Q110" s="8">
        <v>400</v>
      </c>
      <c r="R110" s="8">
        <v>400</v>
      </c>
      <c r="S110" s="8">
        <v>400</v>
      </c>
      <c r="T110" s="2"/>
      <c r="U110" s="8">
        <f t="shared" si="51"/>
        <v>4850</v>
      </c>
    </row>
    <row r="111" spans="1:21" x14ac:dyDescent="0.35">
      <c r="A111" s="1"/>
      <c r="B111" s="1"/>
      <c r="C111" s="1"/>
      <c r="D111" s="1"/>
      <c r="E111" s="1"/>
      <c r="F111" s="1" t="s">
        <v>123</v>
      </c>
      <c r="G111" s="1"/>
      <c r="H111" s="8">
        <f>100+252+125+10+120+40</f>
        <v>647</v>
      </c>
      <c r="I111" s="8">
        <f>200+50</f>
        <v>250</v>
      </c>
      <c r="J111" s="8">
        <v>200</v>
      </c>
      <c r="K111" s="8">
        <v>0</v>
      </c>
      <c r="L111" s="8">
        <v>50</v>
      </c>
      <c r="M111" s="8">
        <f>125+25+5+120</f>
        <v>275</v>
      </c>
      <c r="N111" s="8">
        <v>0</v>
      </c>
      <c r="O111" s="8">
        <v>0</v>
      </c>
      <c r="P111" s="8">
        <v>0</v>
      </c>
      <c r="Q111" s="8">
        <v>0</v>
      </c>
      <c r="R111" s="8">
        <v>320</v>
      </c>
      <c r="S111" s="8">
        <f>320+100</f>
        <v>420</v>
      </c>
      <c r="T111" s="2"/>
      <c r="U111" s="8">
        <f t="shared" si="51"/>
        <v>2162</v>
      </c>
    </row>
    <row r="112" spans="1:21" ht="15" thickBot="1" x14ac:dyDescent="0.4">
      <c r="A112" s="1"/>
      <c r="B112" s="1"/>
      <c r="C112" s="1"/>
      <c r="D112" s="1"/>
      <c r="E112" s="1"/>
      <c r="F112" s="1" t="s">
        <v>124</v>
      </c>
      <c r="G112" s="1"/>
      <c r="H112" s="10">
        <v>0</v>
      </c>
      <c r="I112" s="10">
        <v>0</v>
      </c>
      <c r="J112" s="10">
        <v>0</v>
      </c>
      <c r="K112" s="10">
        <v>500</v>
      </c>
      <c r="L112" s="10">
        <v>0</v>
      </c>
      <c r="M112" s="10">
        <v>130</v>
      </c>
      <c r="N112" s="10">
        <v>0</v>
      </c>
      <c r="O112" s="10">
        <v>350</v>
      </c>
      <c r="P112" s="10">
        <v>0</v>
      </c>
      <c r="Q112" s="10">
        <v>0</v>
      </c>
      <c r="R112" s="10">
        <v>0</v>
      </c>
      <c r="S112" s="10">
        <v>0</v>
      </c>
      <c r="T112" s="2"/>
      <c r="U112" s="10">
        <f t="shared" si="51"/>
        <v>980</v>
      </c>
    </row>
    <row r="113" spans="1:21" x14ac:dyDescent="0.35">
      <c r="A113" s="1"/>
      <c r="B113" s="1"/>
      <c r="C113" s="1"/>
      <c r="D113" s="1"/>
      <c r="E113" s="1" t="s">
        <v>125</v>
      </c>
      <c r="F113" s="1"/>
      <c r="G113" s="1"/>
      <c r="H113" s="7">
        <f t="shared" ref="H113:U113" si="52">SUM(H108:H112)</f>
        <v>2714</v>
      </c>
      <c r="I113" s="7">
        <f t="shared" si="52"/>
        <v>625</v>
      </c>
      <c r="J113" s="7">
        <f t="shared" si="52"/>
        <v>975</v>
      </c>
      <c r="K113" s="7">
        <f t="shared" si="52"/>
        <v>910</v>
      </c>
      <c r="L113" s="7">
        <f t="shared" si="52"/>
        <v>2615</v>
      </c>
      <c r="M113" s="7">
        <f t="shared" si="52"/>
        <v>2079</v>
      </c>
      <c r="N113" s="7">
        <f t="shared" si="52"/>
        <v>755</v>
      </c>
      <c r="O113" s="7">
        <f t="shared" si="52"/>
        <v>945</v>
      </c>
      <c r="P113" s="7">
        <f t="shared" si="52"/>
        <v>1385</v>
      </c>
      <c r="Q113" s="7">
        <f t="shared" si="52"/>
        <v>9265</v>
      </c>
      <c r="R113" s="7">
        <f t="shared" si="52"/>
        <v>935</v>
      </c>
      <c r="S113" s="7">
        <f t="shared" si="52"/>
        <v>945</v>
      </c>
      <c r="T113" s="2"/>
      <c r="U113" s="7">
        <f t="shared" si="52"/>
        <v>24148</v>
      </c>
    </row>
    <row r="114" spans="1:21" x14ac:dyDescent="0.35">
      <c r="A114" s="1"/>
      <c r="B114" s="1"/>
      <c r="C114" s="1"/>
      <c r="D114" s="1"/>
      <c r="E114" s="1" t="s">
        <v>126</v>
      </c>
      <c r="F114" s="1"/>
      <c r="G114" s="1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2"/>
      <c r="U114" s="2"/>
    </row>
    <row r="115" spans="1:21" x14ac:dyDescent="0.35">
      <c r="A115" s="1"/>
      <c r="B115" s="1"/>
      <c r="C115" s="1"/>
      <c r="D115" s="1"/>
      <c r="E115" s="1"/>
      <c r="F115" s="1" t="s">
        <v>127</v>
      </c>
      <c r="G115" s="1"/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750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2"/>
      <c r="U115" s="8">
        <f t="shared" ref="U115:U116" si="53">SUM(H115:S115)</f>
        <v>750</v>
      </c>
    </row>
    <row r="116" spans="1:21" ht="15" thickBot="1" x14ac:dyDescent="0.4">
      <c r="A116" s="1"/>
      <c r="B116" s="1"/>
      <c r="C116" s="1"/>
      <c r="D116" s="1"/>
      <c r="E116" s="1"/>
      <c r="F116" s="1" t="s">
        <v>128</v>
      </c>
      <c r="G116" s="1"/>
      <c r="H116" s="8">
        <f>816+5915+452</f>
        <v>7183</v>
      </c>
      <c r="I116" s="8">
        <f>212+8371+170</f>
        <v>8753</v>
      </c>
      <c r="J116" s="8">
        <f>287+8593+270+70</f>
        <v>9220</v>
      </c>
      <c r="K116" s="8">
        <f>2420+7325+460+70</f>
        <v>10275</v>
      </c>
      <c r="L116" s="8">
        <f>995+4709+540+265</f>
        <v>6509</v>
      </c>
      <c r="M116" s="8">
        <f>81+8119</f>
        <v>8200</v>
      </c>
      <c r="N116" s="8">
        <f>217+8119+1080+175</f>
        <v>9591</v>
      </c>
      <c r="O116" s="8">
        <f>137+7073+70</f>
        <v>7280</v>
      </c>
      <c r="P116" s="8">
        <f>651+8119</f>
        <v>8770</v>
      </c>
      <c r="Q116" s="8">
        <f>448+8371</f>
        <v>8819</v>
      </c>
      <c r="R116" s="8">
        <f>522+7970</f>
        <v>8492</v>
      </c>
      <c r="S116" s="8">
        <f>522+7970</f>
        <v>8492</v>
      </c>
      <c r="T116" s="2"/>
      <c r="U116" s="10">
        <f t="shared" si="53"/>
        <v>101584</v>
      </c>
    </row>
    <row r="117" spans="1:21" ht="15" thickBot="1" x14ac:dyDescent="0.4">
      <c r="A117" s="1"/>
      <c r="B117" s="1"/>
      <c r="C117" s="1"/>
      <c r="D117" s="1"/>
      <c r="E117" s="1" t="s">
        <v>129</v>
      </c>
      <c r="F117" s="1"/>
      <c r="G117" s="1"/>
      <c r="H117" s="11">
        <f t="shared" ref="H117:S117" si="54">+H116</f>
        <v>7183</v>
      </c>
      <c r="I117" s="11">
        <f t="shared" si="54"/>
        <v>8753</v>
      </c>
      <c r="J117" s="11">
        <f t="shared" si="54"/>
        <v>9220</v>
      </c>
      <c r="K117" s="11">
        <f t="shared" si="54"/>
        <v>10275</v>
      </c>
      <c r="L117" s="11">
        <f t="shared" si="54"/>
        <v>6509</v>
      </c>
      <c r="M117" s="11">
        <f t="shared" si="54"/>
        <v>8200</v>
      </c>
      <c r="N117" s="11">
        <f t="shared" si="54"/>
        <v>9591</v>
      </c>
      <c r="O117" s="11">
        <f t="shared" si="54"/>
        <v>7280</v>
      </c>
      <c r="P117" s="11">
        <f t="shared" si="54"/>
        <v>8770</v>
      </c>
      <c r="Q117" s="11">
        <f t="shared" si="54"/>
        <v>8819</v>
      </c>
      <c r="R117" s="11">
        <f t="shared" si="54"/>
        <v>8492</v>
      </c>
      <c r="S117" s="11">
        <f t="shared" si="54"/>
        <v>8492</v>
      </c>
      <c r="T117" s="2"/>
      <c r="U117" s="11">
        <f t="shared" ref="U117" si="55">+U116</f>
        <v>101584</v>
      </c>
    </row>
    <row r="118" spans="1:21" ht="15" thickBot="1" x14ac:dyDescent="0.4">
      <c r="A118" s="1"/>
      <c r="B118" s="1"/>
      <c r="C118" s="1"/>
      <c r="D118" s="1" t="s">
        <v>130</v>
      </c>
      <c r="E118" s="1"/>
      <c r="F118" s="1"/>
      <c r="G118" s="1"/>
      <c r="H118" s="11">
        <f t="shared" ref="H118:S118" si="56">+H46+H95+H106+H113+H117</f>
        <v>159775.67076538462</v>
      </c>
      <c r="I118" s="11">
        <f t="shared" si="56"/>
        <v>130077.67076538461</v>
      </c>
      <c r="J118" s="11">
        <f t="shared" si="56"/>
        <v>130057.67076538462</v>
      </c>
      <c r="K118" s="11">
        <f t="shared" si="56"/>
        <v>138156.67076538462</v>
      </c>
      <c r="L118" s="11">
        <f t="shared" si="56"/>
        <v>171880.08308153847</v>
      </c>
      <c r="M118" s="11">
        <f t="shared" si="56"/>
        <v>134504.36308153847</v>
      </c>
      <c r="N118" s="11">
        <f t="shared" si="56"/>
        <v>131155.36308153847</v>
      </c>
      <c r="O118" s="11">
        <f t="shared" si="56"/>
        <v>160142.36308153847</v>
      </c>
      <c r="P118" s="11">
        <f t="shared" si="56"/>
        <v>132946.36308153847</v>
      </c>
      <c r="Q118" s="11">
        <f t="shared" si="56"/>
        <v>177434.36308153847</v>
      </c>
      <c r="R118" s="11">
        <f t="shared" si="56"/>
        <v>181429.76000000001</v>
      </c>
      <c r="S118" s="11">
        <f t="shared" si="56"/>
        <v>146431.84</v>
      </c>
      <c r="T118" s="2"/>
      <c r="U118" s="11">
        <f>+U46+U95+U106+U113+U117</f>
        <v>1793992.1815384615</v>
      </c>
    </row>
    <row r="119" spans="1:21" ht="15" thickBot="1" x14ac:dyDescent="0.4">
      <c r="A119" s="1"/>
      <c r="B119" s="1" t="s">
        <v>131</v>
      </c>
      <c r="C119" s="1"/>
      <c r="D119" s="1"/>
      <c r="E119" s="1"/>
      <c r="F119" s="1"/>
      <c r="G119" s="1"/>
      <c r="H119" s="11">
        <f t="shared" ref="H119:S119" si="57">+H29-H118</f>
        <v>-26155.670765384624</v>
      </c>
      <c r="I119" s="11">
        <f t="shared" si="57"/>
        <v>-76275.67076538461</v>
      </c>
      <c r="J119" s="11">
        <f t="shared" si="57"/>
        <v>60703.995904615382</v>
      </c>
      <c r="K119" s="11">
        <f t="shared" si="57"/>
        <v>-40836.004095384618</v>
      </c>
      <c r="L119" s="11">
        <f t="shared" si="57"/>
        <v>74332.583588461537</v>
      </c>
      <c r="M119" s="11">
        <f t="shared" si="57"/>
        <v>-19636.696411538462</v>
      </c>
      <c r="N119" s="11">
        <f t="shared" si="57"/>
        <v>-48607.696411538462</v>
      </c>
      <c r="O119" s="11">
        <f t="shared" si="57"/>
        <v>-25724.696411538462</v>
      </c>
      <c r="P119" s="11">
        <f t="shared" si="57"/>
        <v>-25150.696411538462</v>
      </c>
      <c r="Q119" s="11">
        <f t="shared" si="57"/>
        <v>-89920.696411538462</v>
      </c>
      <c r="R119" s="11">
        <f t="shared" si="57"/>
        <v>98995.906669999997</v>
      </c>
      <c r="S119" s="11">
        <f t="shared" si="57"/>
        <v>-37889.173329999991</v>
      </c>
      <c r="T119" s="2"/>
      <c r="U119" s="11">
        <f>+U29-U118</f>
        <v>-156164.51486846153</v>
      </c>
    </row>
    <row r="120" spans="1:21" ht="15" thickBot="1" x14ac:dyDescent="0.4">
      <c r="A120" s="1" t="s">
        <v>132</v>
      </c>
      <c r="B120" s="1"/>
      <c r="C120" s="1"/>
      <c r="D120" s="1"/>
      <c r="E120" s="1"/>
      <c r="F120" s="1"/>
      <c r="G120" s="1"/>
      <c r="H120" s="14">
        <f t="shared" ref="H120:S120" si="58">+H119</f>
        <v>-26155.670765384624</v>
      </c>
      <c r="I120" s="14">
        <f t="shared" si="58"/>
        <v>-76275.67076538461</v>
      </c>
      <c r="J120" s="14">
        <f t="shared" si="58"/>
        <v>60703.995904615382</v>
      </c>
      <c r="K120" s="14">
        <f t="shared" si="58"/>
        <v>-40836.004095384618</v>
      </c>
      <c r="L120" s="14">
        <f t="shared" si="58"/>
        <v>74332.583588461537</v>
      </c>
      <c r="M120" s="14">
        <f t="shared" si="58"/>
        <v>-19636.696411538462</v>
      </c>
      <c r="N120" s="14">
        <f t="shared" si="58"/>
        <v>-48607.696411538462</v>
      </c>
      <c r="O120" s="14">
        <f t="shared" si="58"/>
        <v>-25724.696411538462</v>
      </c>
      <c r="P120" s="14">
        <f t="shared" si="58"/>
        <v>-25150.696411538462</v>
      </c>
      <c r="Q120" s="14">
        <f t="shared" si="58"/>
        <v>-89920.696411538462</v>
      </c>
      <c r="R120" s="14">
        <f t="shared" si="58"/>
        <v>98995.906669999997</v>
      </c>
      <c r="S120" s="14">
        <f t="shared" si="58"/>
        <v>-37889.173329999991</v>
      </c>
      <c r="T120" s="15"/>
      <c r="U120" s="14">
        <f t="shared" ref="U120" si="59">+U119</f>
        <v>-156164.51486846153</v>
      </c>
    </row>
    <row r="121" spans="1:21" ht="15" thickTop="1" x14ac:dyDescent="0.35"/>
  </sheetData>
  <mergeCells count="1">
    <mergeCell ref="H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 Bartells</dc:creator>
  <cp:lastModifiedBy>Dani Bartells</cp:lastModifiedBy>
  <dcterms:created xsi:type="dcterms:W3CDTF">2022-08-02T23:34:36Z</dcterms:created>
  <dcterms:modified xsi:type="dcterms:W3CDTF">2022-08-02T23:37:36Z</dcterms:modified>
</cp:coreProperties>
</file>